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-15" windowWidth="14490" windowHeight="7935" tabRatio="902"/>
  </bookViews>
  <sheets>
    <sheet name="Index" sheetId="1" r:id="rId1"/>
    <sheet name="1.Key Assumptions" sheetId="2" r:id="rId2"/>
    <sheet name="2. 5-Yr Profit &amp; Loss" sheetId="7" r:id="rId3"/>
    <sheet name="3. Balance sheets" sheetId="20" r:id="rId4"/>
    <sheet name="5. 5-Yr Cashflow" sheetId="24" r:id="rId5"/>
    <sheet name="4. Initial Inv't Size" sheetId="21" r:id="rId6"/>
    <sheet name="App 1_5Yr Revenue" sheetId="4" r:id="rId7"/>
    <sheet name="App 2_12M Revenue" sheetId="3" r:id="rId8"/>
    <sheet name="App 3_Service Fee Ref." sheetId="5" r:id="rId9"/>
    <sheet name="App 4_Yr1 Cashflow" sheetId="19" r:id="rId10"/>
    <sheet name="App 5_5-Yr Capex" sheetId="15" r:id="rId11"/>
    <sheet name="App 6_Yr 1 Capex" sheetId="16" r:id="rId12"/>
    <sheet name="App 7_Pre-operational Costs" sheetId="22" r:id="rId13"/>
    <sheet name="List of equipment" sheetId="17" state="hidden" r:id="rId14"/>
    <sheet name="Medic Equipment" sheetId="18" state="hidden" r:id="rId15"/>
    <sheet name="App 8_5Yr Headcount" sheetId="11" r:id="rId16"/>
    <sheet name="App 9_Yr1 Headcount" sheetId="12" r:id="rId17"/>
    <sheet name="App 10_5Yr Op Exp" sheetId="14" r:id="rId18"/>
    <sheet name="App 11_Yr1 Op Exp" sheetId="13" r:id="rId19"/>
    <sheet name="COGS" sheetId="23" r:id="rId20"/>
    <sheet name="Medic Data" sheetId="6" r:id="rId21"/>
    <sheet name="Payroll" sheetId="8" state="hidden" r:id="rId22"/>
  </sheets>
  <externalReferences>
    <externalReference r:id="rId23"/>
  </externalReferences>
  <definedNames>
    <definedName name="_xlnm._FilterDatabase" localSheetId="16" hidden="1">'App 9_Yr1 Headcount'!$B$162:$AQ$166</definedName>
    <definedName name="_xlnm._FilterDatabase" localSheetId="13" hidden="1">'List of equipment'!$M$6:$T$27</definedName>
    <definedName name="end_year">'[1]1.Setup'!$D$12</definedName>
    <definedName name="Rd">'[1]1.Setup'!$C$16</definedName>
    <definedName name="Re">'[1]1.Setup'!$C$17</definedName>
  </definedNames>
  <calcPr calcId="125725"/>
</workbook>
</file>

<file path=xl/calcChain.xml><?xml version="1.0" encoding="utf-8"?>
<calcChain xmlns="http://schemas.openxmlformats.org/spreadsheetml/2006/main">
  <c r="E27" i="24"/>
  <c r="F18" i="7"/>
  <c r="F19"/>
  <c r="C39"/>
  <c r="C40"/>
  <c r="C41"/>
  <c r="C42"/>
  <c r="C43"/>
  <c r="C44"/>
  <c r="C70"/>
  <c r="F26" i="24"/>
  <c r="G26"/>
  <c r="H26"/>
  <c r="I26"/>
  <c r="F28"/>
  <c r="G28"/>
  <c r="H28"/>
  <c r="I28"/>
  <c r="C122" i="11" l="1"/>
  <c r="C123"/>
  <c r="C124"/>
  <c r="C125"/>
  <c r="C126"/>
  <c r="C127"/>
  <c r="C116"/>
  <c r="C117"/>
  <c r="C118"/>
  <c r="C110"/>
  <c r="C111"/>
  <c r="C112"/>
  <c r="C104"/>
  <c r="C105"/>
  <c r="C106"/>
  <c r="D71"/>
  <c r="C72"/>
  <c r="C73"/>
  <c r="C74"/>
  <c r="C75"/>
  <c r="C76"/>
  <c r="D77"/>
  <c r="C78"/>
  <c r="C79"/>
  <c r="C80"/>
  <c r="C81"/>
  <c r="C82"/>
  <c r="D83"/>
  <c r="C84"/>
  <c r="C85"/>
  <c r="C86"/>
  <c r="C87"/>
  <c r="C88"/>
  <c r="D89"/>
  <c r="C90"/>
  <c r="C91"/>
  <c r="C92"/>
  <c r="C93"/>
  <c r="C94"/>
  <c r="D95"/>
  <c r="C96"/>
  <c r="C97"/>
  <c r="C98"/>
  <c r="C99"/>
  <c r="C100"/>
  <c r="C60"/>
  <c r="C61"/>
  <c r="C62"/>
  <c r="C63"/>
  <c r="C64"/>
  <c r="C65"/>
  <c r="C66"/>
  <c r="C67"/>
  <c r="C53"/>
  <c r="C54"/>
  <c r="C55"/>
  <c r="C56"/>
  <c r="C48"/>
  <c r="C49"/>
  <c r="C43"/>
  <c r="C44"/>
  <c r="B43"/>
  <c r="C37"/>
  <c r="C38"/>
  <c r="C31"/>
  <c r="C32"/>
  <c r="C33"/>
  <c r="B127"/>
  <c r="B126"/>
  <c r="B125"/>
  <c r="B124"/>
  <c r="B123"/>
  <c r="B122"/>
  <c r="B118"/>
  <c r="B117"/>
  <c r="B116"/>
  <c r="B112"/>
  <c r="B111"/>
  <c r="B110"/>
  <c r="B106"/>
  <c r="B105"/>
  <c r="B104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67"/>
  <c r="B66"/>
  <c r="B65"/>
  <c r="B64"/>
  <c r="B63"/>
  <c r="B62"/>
  <c r="B61"/>
  <c r="B60"/>
  <c r="B56"/>
  <c r="B55"/>
  <c r="B54"/>
  <c r="B53"/>
  <c r="B49"/>
  <c r="B48"/>
  <c r="B44"/>
  <c r="F44" s="1"/>
  <c r="C155" i="12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99"/>
  <c r="C98"/>
  <c r="C97"/>
  <c r="C96"/>
  <c r="C95"/>
  <c r="C94"/>
  <c r="C93"/>
  <c r="C92"/>
  <c r="C91"/>
  <c r="C89"/>
  <c r="C88"/>
  <c r="C87"/>
  <c r="C86"/>
  <c r="C85"/>
  <c r="C84"/>
  <c r="C80"/>
  <c r="C79"/>
  <c r="C78"/>
  <c r="C76"/>
  <c r="C75"/>
  <c r="C74"/>
  <c r="C73"/>
  <c r="J80" i="11"/>
  <c r="I80"/>
  <c r="E33" i="24"/>
  <c r="J35" i="19" l="1"/>
  <c r="K35"/>
  <c r="L35"/>
  <c r="G36" i="16"/>
  <c r="B17" i="19"/>
  <c r="B15"/>
  <c r="B14"/>
  <c r="B13"/>
  <c r="B9"/>
  <c r="AB39" i="16"/>
  <c r="X9" i="19" s="1"/>
  <c r="AA39" i="16"/>
  <c r="W9" i="19" s="1"/>
  <c r="Z39" i="16"/>
  <c r="V9" i="19" s="1"/>
  <c r="Y39" i="16"/>
  <c r="U9" i="19" s="1"/>
  <c r="X39" i="16"/>
  <c r="T9" i="19" s="1"/>
  <c r="W39" i="16"/>
  <c r="S9" i="19" s="1"/>
  <c r="V39" i="16"/>
  <c r="R9" i="19" s="1"/>
  <c r="U39" i="16"/>
  <c r="Q9" i="19" s="1"/>
  <c r="T39" i="16"/>
  <c r="P9" i="19" s="1"/>
  <c r="S39" i="16"/>
  <c r="O9" i="19" s="1"/>
  <c r="R39" i="16"/>
  <c r="N9" i="19" s="1"/>
  <c r="Q39" i="16"/>
  <c r="M9" i="19" s="1"/>
  <c r="I32"/>
  <c r="H32"/>
  <c r="G32"/>
  <c r="F32"/>
  <c r="C10" i="23"/>
  <c r="AD201" i="16"/>
  <c r="C163"/>
  <c r="G163"/>
  <c r="J163" s="1"/>
  <c r="F332"/>
  <c r="F163" s="1"/>
  <c r="O332"/>
  <c r="O163" s="1"/>
  <c r="P332"/>
  <c r="M16" i="5"/>
  <c r="M17" s="1"/>
  <c r="M18" s="1"/>
  <c r="M19" s="1"/>
  <c r="M20" s="1"/>
  <c r="M21" s="1"/>
  <c r="M22" s="1"/>
  <c r="M23" s="1"/>
  <c r="M24" s="1"/>
  <c r="C44" i="22"/>
  <c r="B8"/>
  <c r="C61" i="12"/>
  <c r="B32" i="11" s="1"/>
  <c r="C62" i="12"/>
  <c r="B33" i="11" s="1"/>
  <c r="C60" i="12"/>
  <c r="B31" i="11" s="1"/>
  <c r="H145" i="13"/>
  <c r="I145" s="1"/>
  <c r="J145" s="1"/>
  <c r="K145" s="1"/>
  <c r="L145" s="1"/>
  <c r="M145" s="1"/>
  <c r="N145" s="1"/>
  <c r="O145" s="1"/>
  <c r="P145" s="1"/>
  <c r="Q145" s="1"/>
  <c r="R145" s="1"/>
  <c r="S145" s="1"/>
  <c r="H146"/>
  <c r="I146" s="1"/>
  <c r="J146" s="1"/>
  <c r="K146" s="1"/>
  <c r="L146" s="1"/>
  <c r="M146" s="1"/>
  <c r="N146" s="1"/>
  <c r="O146" s="1"/>
  <c r="P146" s="1"/>
  <c r="Q146" s="1"/>
  <c r="R146" s="1"/>
  <c r="S146" s="1"/>
  <c r="H147"/>
  <c r="I147" s="1"/>
  <c r="J147" s="1"/>
  <c r="K147" s="1"/>
  <c r="L147" s="1"/>
  <c r="M147" s="1"/>
  <c r="N147" s="1"/>
  <c r="O147" s="1"/>
  <c r="P147" s="1"/>
  <c r="Q147" s="1"/>
  <c r="R147" s="1"/>
  <c r="S147" s="1"/>
  <c r="H148"/>
  <c r="I148" s="1"/>
  <c r="J148" s="1"/>
  <c r="K148" s="1"/>
  <c r="L148" s="1"/>
  <c r="M148" s="1"/>
  <c r="N148" s="1"/>
  <c r="O148" s="1"/>
  <c r="P148" s="1"/>
  <c r="Q148" s="1"/>
  <c r="R148" s="1"/>
  <c r="S148" s="1"/>
  <c r="H144"/>
  <c r="I144" s="1"/>
  <c r="J144" s="1"/>
  <c r="K144" s="1"/>
  <c r="L144" s="1"/>
  <c r="M144" s="1"/>
  <c r="N144" s="1"/>
  <c r="O144" s="1"/>
  <c r="P144" s="1"/>
  <c r="Q144" s="1"/>
  <c r="R144" s="1"/>
  <c r="S144" s="1"/>
  <c r="E121"/>
  <c r="B39" i="14"/>
  <c r="N110" i="13"/>
  <c r="O110" s="1"/>
  <c r="P110" s="1"/>
  <c r="Q110" s="1"/>
  <c r="R110" s="1"/>
  <c r="S110" s="1"/>
  <c r="R283" i="16"/>
  <c r="T283"/>
  <c r="U283"/>
  <c r="V283"/>
  <c r="W283"/>
  <c r="X283"/>
  <c r="Y283"/>
  <c r="Z283"/>
  <c r="AA283"/>
  <c r="AB283" s="1"/>
  <c r="F283"/>
  <c r="E283" s="1"/>
  <c r="P283" s="1"/>
  <c r="F344"/>
  <c r="J214"/>
  <c r="F214" s="1"/>
  <c r="P214"/>
  <c r="R214"/>
  <c r="S214" s="1"/>
  <c r="T214" s="1"/>
  <c r="C46"/>
  <c r="G46"/>
  <c r="H46" s="1"/>
  <c r="G211"/>
  <c r="G216"/>
  <c r="G244"/>
  <c r="F20" i="14"/>
  <c r="L139" i="11"/>
  <c r="B38"/>
  <c r="B37"/>
  <c r="C171" i="12"/>
  <c r="F20" i="4"/>
  <c r="F38" i="12"/>
  <c r="F37"/>
  <c r="E31" i="7" l="1"/>
  <c r="I31"/>
  <c r="H32"/>
  <c r="G33"/>
  <c r="H31"/>
  <c r="G32"/>
  <c r="F33"/>
  <c r="G31"/>
  <c r="F32"/>
  <c r="E33"/>
  <c r="I33"/>
  <c r="F31"/>
  <c r="E32"/>
  <c r="I32"/>
  <c r="H33"/>
  <c r="K163" i="16"/>
  <c r="E332"/>
  <c r="P163"/>
  <c r="L163"/>
  <c r="H163"/>
  <c r="M163"/>
  <c r="I163"/>
  <c r="N332"/>
  <c r="Q283"/>
  <c r="O283" s="1"/>
  <c r="N283" s="1"/>
  <c r="M46"/>
  <c r="K46"/>
  <c r="P46"/>
  <c r="Q46" s="1"/>
  <c r="L46"/>
  <c r="I46"/>
  <c r="U214"/>
  <c r="V214" s="1"/>
  <c r="T46"/>
  <c r="E214"/>
  <c r="F46"/>
  <c r="J46"/>
  <c r="P368"/>
  <c r="P369"/>
  <c r="P367"/>
  <c r="K141" i="12"/>
  <c r="L141"/>
  <c r="M141"/>
  <c r="N141"/>
  <c r="O141"/>
  <c r="P141"/>
  <c r="Q141"/>
  <c r="R141"/>
  <c r="S141"/>
  <c r="T141"/>
  <c r="U141"/>
  <c r="V141"/>
  <c r="K145"/>
  <c r="L145"/>
  <c r="M145"/>
  <c r="N145"/>
  <c r="O145"/>
  <c r="P145"/>
  <c r="Q145"/>
  <c r="R145"/>
  <c r="S145"/>
  <c r="T145"/>
  <c r="U145"/>
  <c r="V145"/>
  <c r="K149"/>
  <c r="L149"/>
  <c r="M149"/>
  <c r="N149"/>
  <c r="O149"/>
  <c r="P149"/>
  <c r="Q149"/>
  <c r="R149"/>
  <c r="S149"/>
  <c r="T149"/>
  <c r="U149"/>
  <c r="V149"/>
  <c r="W244"/>
  <c r="W248"/>
  <c r="W251"/>
  <c r="W252"/>
  <c r="W255"/>
  <c r="W173"/>
  <c r="N183"/>
  <c r="L202"/>
  <c r="M202" s="1"/>
  <c r="N202" s="1"/>
  <c r="O202" s="1"/>
  <c r="P202" s="1"/>
  <c r="G131" i="13"/>
  <c r="I37" i="16"/>
  <c r="K37"/>
  <c r="L37"/>
  <c r="M37"/>
  <c r="I38"/>
  <c r="K38"/>
  <c r="L38"/>
  <c r="M38"/>
  <c r="H38"/>
  <c r="H37"/>
  <c r="B22" i="15"/>
  <c r="B40" s="1"/>
  <c r="B23"/>
  <c r="B41" s="1"/>
  <c r="B24"/>
  <c r="B42" s="1"/>
  <c r="B25"/>
  <c r="B26"/>
  <c r="B27"/>
  <c r="B28"/>
  <c r="B29"/>
  <c r="B30"/>
  <c r="C54" i="22"/>
  <c r="F54" s="1"/>
  <c r="C53"/>
  <c r="F53" s="1"/>
  <c r="O38" i="16"/>
  <c r="O37"/>
  <c r="O36"/>
  <c r="C15" i="22"/>
  <c r="D15"/>
  <c r="E15"/>
  <c r="C16"/>
  <c r="D16"/>
  <c r="E16"/>
  <c r="C17"/>
  <c r="D17"/>
  <c r="E17"/>
  <c r="B15"/>
  <c r="B16"/>
  <c r="B17"/>
  <c r="O204" i="16" l="1"/>
  <c r="R163"/>
  <c r="V163"/>
  <c r="Z163"/>
  <c r="Q163"/>
  <c r="U163"/>
  <c r="Y163"/>
  <c r="T163"/>
  <c r="X163"/>
  <c r="AB163"/>
  <c r="S163"/>
  <c r="W163"/>
  <c r="AA163"/>
  <c r="E163"/>
  <c r="E46"/>
  <c r="S46"/>
  <c r="R46"/>
  <c r="W214"/>
  <c r="V46"/>
  <c r="U46"/>
  <c r="G337"/>
  <c r="N163" l="1"/>
  <c r="X214"/>
  <c r="W46"/>
  <c r="D51" i="15"/>
  <c r="E51" s="1"/>
  <c r="F51" s="1"/>
  <c r="G51" s="1"/>
  <c r="H51" s="1"/>
  <c r="D53"/>
  <c r="E53" s="1"/>
  <c r="F53" s="1"/>
  <c r="G53" s="1"/>
  <c r="H53" s="1"/>
  <c r="D54"/>
  <c r="E54" s="1"/>
  <c r="F54" s="1"/>
  <c r="G54" s="1"/>
  <c r="H54" s="1"/>
  <c r="B52"/>
  <c r="D52"/>
  <c r="E52" s="1"/>
  <c r="F52" s="1"/>
  <c r="G52" s="1"/>
  <c r="H52" s="1"/>
  <c r="B53"/>
  <c r="B54"/>
  <c r="C199" i="16"/>
  <c r="G199"/>
  <c r="H199" s="1"/>
  <c r="C200"/>
  <c r="G200"/>
  <c r="G198"/>
  <c r="M198" s="1"/>
  <c r="C198"/>
  <c r="C187"/>
  <c r="G187"/>
  <c r="K187" s="1"/>
  <c r="C188"/>
  <c r="G188"/>
  <c r="I188" s="1"/>
  <c r="C189"/>
  <c r="G189"/>
  <c r="H189" s="1"/>
  <c r="C190"/>
  <c r="G190"/>
  <c r="I190" s="1"/>
  <c r="C191"/>
  <c r="G191"/>
  <c r="H191" s="1"/>
  <c r="C192"/>
  <c r="G192"/>
  <c r="P192" s="1"/>
  <c r="X192" s="1"/>
  <c r="C193"/>
  <c r="G193"/>
  <c r="H193" s="1"/>
  <c r="G186"/>
  <c r="C186"/>
  <c r="C169"/>
  <c r="G169"/>
  <c r="H169" s="1"/>
  <c r="C170"/>
  <c r="G170"/>
  <c r="H170" s="1"/>
  <c r="C171"/>
  <c r="G171"/>
  <c r="K171" s="1"/>
  <c r="C172"/>
  <c r="G172"/>
  <c r="I172" s="1"/>
  <c r="C173"/>
  <c r="G173"/>
  <c r="K173" s="1"/>
  <c r="C174"/>
  <c r="G174"/>
  <c r="K174" s="1"/>
  <c r="C175"/>
  <c r="G175"/>
  <c r="H175" s="1"/>
  <c r="C176"/>
  <c r="G176"/>
  <c r="H176" s="1"/>
  <c r="C177"/>
  <c r="G177"/>
  <c r="P177" s="1"/>
  <c r="X177" s="1"/>
  <c r="C178"/>
  <c r="G178"/>
  <c r="P178" s="1"/>
  <c r="Z178" s="1"/>
  <c r="C179"/>
  <c r="G179"/>
  <c r="H179" s="1"/>
  <c r="C180"/>
  <c r="G180"/>
  <c r="P180" s="1"/>
  <c r="X180" s="1"/>
  <c r="C181"/>
  <c r="G181"/>
  <c r="P181" s="1"/>
  <c r="G168"/>
  <c r="M168" s="1"/>
  <c r="C168"/>
  <c r="C150"/>
  <c r="G150"/>
  <c r="P150" s="1"/>
  <c r="W150" s="1"/>
  <c r="C151"/>
  <c r="G151"/>
  <c r="H151" s="1"/>
  <c r="C152"/>
  <c r="G152"/>
  <c r="H152" s="1"/>
  <c r="C153"/>
  <c r="G153"/>
  <c r="P153" s="1"/>
  <c r="W153" s="1"/>
  <c r="C154"/>
  <c r="G154"/>
  <c r="H154" s="1"/>
  <c r="C155"/>
  <c r="G155"/>
  <c r="H155" s="1"/>
  <c r="C156"/>
  <c r="G156"/>
  <c r="H156" s="1"/>
  <c r="C157"/>
  <c r="G157"/>
  <c r="K157" s="1"/>
  <c r="C158"/>
  <c r="G158"/>
  <c r="K158" s="1"/>
  <c r="C159"/>
  <c r="G159"/>
  <c r="H159" s="1"/>
  <c r="C160"/>
  <c r="G160"/>
  <c r="J160" s="1"/>
  <c r="C161"/>
  <c r="G161"/>
  <c r="H161" s="1"/>
  <c r="C162"/>
  <c r="G162"/>
  <c r="H162" s="1"/>
  <c r="C164"/>
  <c r="G164"/>
  <c r="H164" s="1"/>
  <c r="G149"/>
  <c r="M149" s="1"/>
  <c r="C149"/>
  <c r="C101"/>
  <c r="G101"/>
  <c r="H101" s="1"/>
  <c r="C102"/>
  <c r="G102"/>
  <c r="H102" s="1"/>
  <c r="C103"/>
  <c r="G103"/>
  <c r="H103" s="1"/>
  <c r="C104"/>
  <c r="G104"/>
  <c r="L104" s="1"/>
  <c r="C105"/>
  <c r="G105"/>
  <c r="I105" s="1"/>
  <c r="C106"/>
  <c r="G106"/>
  <c r="H106" s="1"/>
  <c r="C107"/>
  <c r="G107"/>
  <c r="J107" s="1"/>
  <c r="C108"/>
  <c r="G108"/>
  <c r="H108" s="1"/>
  <c r="C109"/>
  <c r="G109"/>
  <c r="H109" s="1"/>
  <c r="C110"/>
  <c r="G110"/>
  <c r="I110" s="1"/>
  <c r="C111"/>
  <c r="G111"/>
  <c r="H111" s="1"/>
  <c r="C112"/>
  <c r="G112"/>
  <c r="H112" s="1"/>
  <c r="C113"/>
  <c r="G113"/>
  <c r="H113" s="1"/>
  <c r="C114"/>
  <c r="G114"/>
  <c r="H114" s="1"/>
  <c r="C115"/>
  <c r="F115"/>
  <c r="G115"/>
  <c r="H115" s="1"/>
  <c r="O115"/>
  <c r="C116"/>
  <c r="G116"/>
  <c r="H116" s="1"/>
  <c r="C117"/>
  <c r="G117"/>
  <c r="H117" s="1"/>
  <c r="C118"/>
  <c r="G118"/>
  <c r="H118" s="1"/>
  <c r="C119"/>
  <c r="G119"/>
  <c r="H119" s="1"/>
  <c r="C120"/>
  <c r="G120"/>
  <c r="H120" s="1"/>
  <c r="C121"/>
  <c r="G121"/>
  <c r="H121" s="1"/>
  <c r="C122"/>
  <c r="G122"/>
  <c r="H122" s="1"/>
  <c r="O122"/>
  <c r="C123"/>
  <c r="F123"/>
  <c r="G123"/>
  <c r="H123" s="1"/>
  <c r="O123"/>
  <c r="C124"/>
  <c r="G124"/>
  <c r="H124" s="1"/>
  <c r="C125"/>
  <c r="G125"/>
  <c r="H125" s="1"/>
  <c r="C126"/>
  <c r="G126"/>
  <c r="H126" s="1"/>
  <c r="C127"/>
  <c r="G127"/>
  <c r="H127" s="1"/>
  <c r="C128"/>
  <c r="G128"/>
  <c r="H128" s="1"/>
  <c r="C129"/>
  <c r="G129"/>
  <c r="H129" s="1"/>
  <c r="C130"/>
  <c r="G130"/>
  <c r="H130" s="1"/>
  <c r="C131"/>
  <c r="F131"/>
  <c r="G131"/>
  <c r="H131" s="1"/>
  <c r="O131"/>
  <c r="C132"/>
  <c r="G132"/>
  <c r="H132" s="1"/>
  <c r="C133"/>
  <c r="F133"/>
  <c r="G133"/>
  <c r="H133" s="1"/>
  <c r="O133"/>
  <c r="C134"/>
  <c r="G134"/>
  <c r="H134" s="1"/>
  <c r="C135"/>
  <c r="G135"/>
  <c r="H135" s="1"/>
  <c r="C136"/>
  <c r="G136"/>
  <c r="H136" s="1"/>
  <c r="C137"/>
  <c r="F137"/>
  <c r="G137"/>
  <c r="H137" s="1"/>
  <c r="O137"/>
  <c r="C138"/>
  <c r="G138"/>
  <c r="H138" s="1"/>
  <c r="C139"/>
  <c r="G139"/>
  <c r="H139" s="1"/>
  <c r="C140"/>
  <c r="G140"/>
  <c r="H140" s="1"/>
  <c r="C141"/>
  <c r="G141"/>
  <c r="H141" s="1"/>
  <c r="C142"/>
  <c r="G142"/>
  <c r="H142" s="1"/>
  <c r="C143"/>
  <c r="G143"/>
  <c r="H143" s="1"/>
  <c r="C144"/>
  <c r="F144"/>
  <c r="G144"/>
  <c r="H144" s="1"/>
  <c r="O144"/>
  <c r="C145"/>
  <c r="G145"/>
  <c r="H145" s="1"/>
  <c r="G100"/>
  <c r="M100" s="1"/>
  <c r="C100"/>
  <c r="C63"/>
  <c r="G63"/>
  <c r="H63" s="1"/>
  <c r="C64"/>
  <c r="G64"/>
  <c r="H64" s="1"/>
  <c r="C65"/>
  <c r="G65"/>
  <c r="H65" s="1"/>
  <c r="C66"/>
  <c r="F66"/>
  <c r="G66"/>
  <c r="H66" s="1"/>
  <c r="O66"/>
  <c r="C67"/>
  <c r="G67"/>
  <c r="H67" s="1"/>
  <c r="C68"/>
  <c r="G68"/>
  <c r="H68" s="1"/>
  <c r="C69"/>
  <c r="G69"/>
  <c r="H69" s="1"/>
  <c r="C70"/>
  <c r="G70"/>
  <c r="H70" s="1"/>
  <c r="C71"/>
  <c r="G71"/>
  <c r="H71" s="1"/>
  <c r="C72"/>
  <c r="G72"/>
  <c r="H72" s="1"/>
  <c r="C73"/>
  <c r="G73"/>
  <c r="H73" s="1"/>
  <c r="C74"/>
  <c r="G74"/>
  <c r="H74" s="1"/>
  <c r="C75"/>
  <c r="G75"/>
  <c r="H75" s="1"/>
  <c r="C76"/>
  <c r="G76"/>
  <c r="H76" s="1"/>
  <c r="C77"/>
  <c r="F77"/>
  <c r="G77"/>
  <c r="H77" s="1"/>
  <c r="O77"/>
  <c r="C78"/>
  <c r="G78"/>
  <c r="H78" s="1"/>
  <c r="C79"/>
  <c r="G79"/>
  <c r="H79" s="1"/>
  <c r="C80"/>
  <c r="G80"/>
  <c r="H80" s="1"/>
  <c r="C81"/>
  <c r="G81"/>
  <c r="H81" s="1"/>
  <c r="C82"/>
  <c r="G82"/>
  <c r="H82" s="1"/>
  <c r="C83"/>
  <c r="F83"/>
  <c r="G83"/>
  <c r="H83" s="1"/>
  <c r="O83"/>
  <c r="C84"/>
  <c r="G84"/>
  <c r="H84" s="1"/>
  <c r="C85"/>
  <c r="G85"/>
  <c r="H85" s="1"/>
  <c r="C86"/>
  <c r="G86"/>
  <c r="H86" s="1"/>
  <c r="C87"/>
  <c r="G87"/>
  <c r="H87" s="1"/>
  <c r="C88"/>
  <c r="G88"/>
  <c r="H88" s="1"/>
  <c r="C89"/>
  <c r="G89"/>
  <c r="H89" s="1"/>
  <c r="C90"/>
  <c r="G90"/>
  <c r="H90" s="1"/>
  <c r="C91"/>
  <c r="G91"/>
  <c r="H91" s="1"/>
  <c r="C92"/>
  <c r="G92"/>
  <c r="H92" s="1"/>
  <c r="C93"/>
  <c r="G93"/>
  <c r="H93" s="1"/>
  <c r="C94"/>
  <c r="G94"/>
  <c r="H94" s="1"/>
  <c r="C95"/>
  <c r="G95"/>
  <c r="H95" s="1"/>
  <c r="C62"/>
  <c r="C61"/>
  <c r="C60"/>
  <c r="B12" i="19" s="1"/>
  <c r="C56" i="16"/>
  <c r="C55"/>
  <c r="C54"/>
  <c r="B11" i="19" s="1"/>
  <c r="C42" i="16"/>
  <c r="C43"/>
  <c r="C44"/>
  <c r="C45"/>
  <c r="C47"/>
  <c r="C48"/>
  <c r="C49"/>
  <c r="C50"/>
  <c r="C41"/>
  <c r="B10" i="19" s="1"/>
  <c r="G62" i="16"/>
  <c r="M62" s="1"/>
  <c r="G56"/>
  <c r="H56" s="1"/>
  <c r="G55"/>
  <c r="M55" s="1"/>
  <c r="G43"/>
  <c r="H43" s="1"/>
  <c r="G44"/>
  <c r="H44" s="1"/>
  <c r="G45"/>
  <c r="H45" s="1"/>
  <c r="G47"/>
  <c r="H47" s="1"/>
  <c r="G48"/>
  <c r="H48" s="1"/>
  <c r="G49"/>
  <c r="H49" s="1"/>
  <c r="G50"/>
  <c r="H50" s="1"/>
  <c r="G42"/>
  <c r="P42" s="1"/>
  <c r="AC198"/>
  <c r="AC193"/>
  <c r="AC192"/>
  <c r="AC190"/>
  <c r="AC189"/>
  <c r="AC171"/>
  <c r="AC162"/>
  <c r="AC161"/>
  <c r="AC159"/>
  <c r="AC158"/>
  <c r="AC157"/>
  <c r="AC156"/>
  <c r="AC154"/>
  <c r="AC153"/>
  <c r="AC152"/>
  <c r="AC151"/>
  <c r="AC150"/>
  <c r="AC149"/>
  <c r="AC145"/>
  <c r="AC143"/>
  <c r="AC142"/>
  <c r="AC141"/>
  <c r="AC140"/>
  <c r="AC139"/>
  <c r="AC138"/>
  <c r="AC136"/>
  <c r="AC135"/>
  <c r="AC134"/>
  <c r="AC132"/>
  <c r="AC130"/>
  <c r="AC129"/>
  <c r="AC128"/>
  <c r="AC127"/>
  <c r="AC126"/>
  <c r="AC125"/>
  <c r="AC124"/>
  <c r="AC121"/>
  <c r="AC120"/>
  <c r="AC119"/>
  <c r="AC118"/>
  <c r="AC117"/>
  <c r="AC116"/>
  <c r="AC114"/>
  <c r="AC113"/>
  <c r="AC112"/>
  <c r="AC111"/>
  <c r="AC110"/>
  <c r="AC109"/>
  <c r="AC108"/>
  <c r="AC107"/>
  <c r="AC106"/>
  <c r="AC105"/>
  <c r="AC104"/>
  <c r="AC103"/>
  <c r="AC102"/>
  <c r="AC101"/>
  <c r="AC100"/>
  <c r="AC65"/>
  <c r="AC62"/>
  <c r="B10" i="22"/>
  <c r="AC367" i="16"/>
  <c r="AC362"/>
  <c r="AC361"/>
  <c r="AC359"/>
  <c r="AC358"/>
  <c r="AC357"/>
  <c r="AC340"/>
  <c r="P144" l="1"/>
  <c r="Q144" s="1"/>
  <c r="P84"/>
  <c r="Q84" s="1"/>
  <c r="P133"/>
  <c r="Q133" s="1"/>
  <c r="M162"/>
  <c r="L75"/>
  <c r="M74"/>
  <c r="P73"/>
  <c r="Q73" s="1"/>
  <c r="P56"/>
  <c r="Q56" s="1"/>
  <c r="P108"/>
  <c r="R108" s="1"/>
  <c r="L88"/>
  <c r="M76"/>
  <c r="P162"/>
  <c r="Q162" s="1"/>
  <c r="K162"/>
  <c r="P88"/>
  <c r="Q88" s="1"/>
  <c r="I88"/>
  <c r="L84"/>
  <c r="K76"/>
  <c r="L67"/>
  <c r="M109"/>
  <c r="L108"/>
  <c r="M101"/>
  <c r="Y214"/>
  <c r="X46"/>
  <c r="M49"/>
  <c r="P43"/>
  <c r="Q43" s="1"/>
  <c r="L95"/>
  <c r="L82"/>
  <c r="P76"/>
  <c r="Q76" s="1"/>
  <c r="L76"/>
  <c r="I76"/>
  <c r="K74"/>
  <c r="P67"/>
  <c r="Q67" s="1"/>
  <c r="I67"/>
  <c r="P139"/>
  <c r="R139" s="1"/>
  <c r="P126"/>
  <c r="R126" s="1"/>
  <c r="P121"/>
  <c r="R121" s="1"/>
  <c r="P103"/>
  <c r="Q103" s="1"/>
  <c r="P175"/>
  <c r="Q175" s="1"/>
  <c r="M56"/>
  <c r="M58" s="1"/>
  <c r="K79"/>
  <c r="P93"/>
  <c r="Q93" s="1"/>
  <c r="K85"/>
  <c r="M84"/>
  <c r="K84"/>
  <c r="M79"/>
  <c r="I79"/>
  <c r="P75"/>
  <c r="Q75" s="1"/>
  <c r="I75"/>
  <c r="P74"/>
  <c r="Q74" s="1"/>
  <c r="L74"/>
  <c r="I74"/>
  <c r="L73"/>
  <c r="M63"/>
  <c r="L142"/>
  <c r="P113"/>
  <c r="Q113" s="1"/>
  <c r="M105"/>
  <c r="P101"/>
  <c r="Q101" s="1"/>
  <c r="L101"/>
  <c r="M156"/>
  <c r="L43"/>
  <c r="I43"/>
  <c r="P179"/>
  <c r="T179" s="1"/>
  <c r="P129"/>
  <c r="R129" s="1"/>
  <c r="L164"/>
  <c r="L179"/>
  <c r="P111"/>
  <c r="R111" s="1"/>
  <c r="P107"/>
  <c r="V107" s="1"/>
  <c r="K105"/>
  <c r="P102"/>
  <c r="Q102" s="1"/>
  <c r="M159"/>
  <c r="M179"/>
  <c r="K179"/>
  <c r="P170"/>
  <c r="X170" s="1"/>
  <c r="L56"/>
  <c r="P95"/>
  <c r="Q95" s="1"/>
  <c r="I95"/>
  <c r="K126"/>
  <c r="M152"/>
  <c r="M93"/>
  <c r="I84"/>
  <c r="L90"/>
  <c r="P130"/>
  <c r="R130" s="1"/>
  <c r="K152"/>
  <c r="K56"/>
  <c r="M75"/>
  <c r="K75"/>
  <c r="P64"/>
  <c r="Q64" s="1"/>
  <c r="K141"/>
  <c r="K136"/>
  <c r="K130"/>
  <c r="L117"/>
  <c r="M112"/>
  <c r="P109"/>
  <c r="R109" s="1"/>
  <c r="L109"/>
  <c r="M108"/>
  <c r="K108"/>
  <c r="M103"/>
  <c r="M102"/>
  <c r="J164"/>
  <c r="AA162"/>
  <c r="L160"/>
  <c r="K159"/>
  <c r="P155"/>
  <c r="Q155" s="1"/>
  <c r="P152"/>
  <c r="AB152" s="1"/>
  <c r="L152"/>
  <c r="J152"/>
  <c r="K175"/>
  <c r="P145"/>
  <c r="Q145" s="1"/>
  <c r="P110"/>
  <c r="U110" s="1"/>
  <c r="I152"/>
  <c r="P50"/>
  <c r="Q50" s="1"/>
  <c r="K49"/>
  <c r="P44"/>
  <c r="Q44" s="1"/>
  <c r="K44"/>
  <c r="M44"/>
  <c r="I44"/>
  <c r="I179"/>
  <c r="K109"/>
  <c r="I109"/>
  <c r="L127"/>
  <c r="L193"/>
  <c r="K129"/>
  <c r="I108"/>
  <c r="P151"/>
  <c r="T151" s="1"/>
  <c r="P135"/>
  <c r="Q135" s="1"/>
  <c r="P193"/>
  <c r="V193" s="1"/>
  <c r="I193"/>
  <c r="I162"/>
  <c r="L151"/>
  <c r="K176"/>
  <c r="K135"/>
  <c r="M176"/>
  <c r="I176"/>
  <c r="P173"/>
  <c r="R173" s="1"/>
  <c r="M169"/>
  <c r="M189"/>
  <c r="L72"/>
  <c r="M68"/>
  <c r="L94"/>
  <c r="M161"/>
  <c r="M157"/>
  <c r="K156"/>
  <c r="P169"/>
  <c r="U169" s="1"/>
  <c r="K169"/>
  <c r="M193"/>
  <c r="K193"/>
  <c r="L188"/>
  <c r="P70"/>
  <c r="Q70" s="1"/>
  <c r="K68"/>
  <c r="P65"/>
  <c r="Q65" s="1"/>
  <c r="L121"/>
  <c r="J56"/>
  <c r="I56"/>
  <c r="L102"/>
  <c r="P122"/>
  <c r="AB122" s="1"/>
  <c r="L122"/>
  <c r="J117"/>
  <c r="P116"/>
  <c r="R116" s="1"/>
  <c r="P106"/>
  <c r="X106" s="1"/>
  <c r="K87"/>
  <c r="M113"/>
  <c r="K112"/>
  <c r="L107"/>
  <c r="M106"/>
  <c r="L103"/>
  <c r="J151"/>
  <c r="P188"/>
  <c r="Z188" s="1"/>
  <c r="L50"/>
  <c r="P91"/>
  <c r="Q91" s="1"/>
  <c r="K89"/>
  <c r="M88"/>
  <c r="K88"/>
  <c r="L86"/>
  <c r="P82"/>
  <c r="Q82" s="1"/>
  <c r="I82"/>
  <c r="P72"/>
  <c r="Q72" s="1"/>
  <c r="I72"/>
  <c r="L71"/>
  <c r="P68"/>
  <c r="Q68" s="1"/>
  <c r="L68"/>
  <c r="I68"/>
  <c r="M67"/>
  <c r="K67"/>
  <c r="L65"/>
  <c r="P63"/>
  <c r="Q63" s="1"/>
  <c r="L63"/>
  <c r="K145"/>
  <c r="L143"/>
  <c r="P142"/>
  <c r="S142" s="1"/>
  <c r="K142"/>
  <c r="K140"/>
  <c r="K139"/>
  <c r="L132"/>
  <c r="L130"/>
  <c r="J130"/>
  <c r="P128"/>
  <c r="U128" s="1"/>
  <c r="I122"/>
  <c r="P119"/>
  <c r="Q119" s="1"/>
  <c r="P117"/>
  <c r="X117" s="1"/>
  <c r="K117"/>
  <c r="I117"/>
  <c r="P112"/>
  <c r="R112" s="1"/>
  <c r="L112"/>
  <c r="I112"/>
  <c r="L111"/>
  <c r="P161"/>
  <c r="L161"/>
  <c r="P154"/>
  <c r="S154" s="1"/>
  <c r="K115"/>
  <c r="M175"/>
  <c r="I175"/>
  <c r="M171"/>
  <c r="L170"/>
  <c r="L190"/>
  <c r="K189"/>
  <c r="L199"/>
  <c r="L92"/>
  <c r="P71"/>
  <c r="Q71" s="1"/>
  <c r="I71"/>
  <c r="P69"/>
  <c r="Q69" s="1"/>
  <c r="M144"/>
  <c r="L128"/>
  <c r="X108"/>
  <c r="L106"/>
  <c r="L154"/>
  <c r="I50"/>
  <c r="I94"/>
  <c r="K91"/>
  <c r="L144"/>
  <c r="K119"/>
  <c r="P115"/>
  <c r="Y115" s="1"/>
  <c r="M115"/>
  <c r="I115"/>
  <c r="M111"/>
  <c r="K111"/>
  <c r="M151"/>
  <c r="K151"/>
  <c r="I151"/>
  <c r="L191"/>
  <c r="P189"/>
  <c r="R189" s="1"/>
  <c r="L189"/>
  <c r="I189"/>
  <c r="M187"/>
  <c r="P199"/>
  <c r="AB199" s="1"/>
  <c r="I199"/>
  <c r="M82"/>
  <c r="K82"/>
  <c r="K70"/>
  <c r="L69"/>
  <c r="P131"/>
  <c r="W131" s="1"/>
  <c r="M131"/>
  <c r="K106"/>
  <c r="K161"/>
  <c r="M154"/>
  <c r="K154"/>
  <c r="J179"/>
  <c r="L80"/>
  <c r="K133"/>
  <c r="K131"/>
  <c r="M170"/>
  <c r="K170"/>
  <c r="P191"/>
  <c r="X191" s="1"/>
  <c r="I191"/>
  <c r="M199"/>
  <c r="K199"/>
  <c r="M45"/>
  <c r="K66"/>
  <c r="J111"/>
  <c r="I154"/>
  <c r="I69"/>
  <c r="P66"/>
  <c r="Z66" s="1"/>
  <c r="M66"/>
  <c r="I66"/>
  <c r="K123"/>
  <c r="K116"/>
  <c r="L115"/>
  <c r="J115"/>
  <c r="L114"/>
  <c r="I106"/>
  <c r="M191"/>
  <c r="K191"/>
  <c r="M50"/>
  <c r="K50"/>
  <c r="P49"/>
  <c r="Q49" s="1"/>
  <c r="L49"/>
  <c r="I49"/>
  <c r="P48"/>
  <c r="Q48" s="1"/>
  <c r="M47"/>
  <c r="K45"/>
  <c r="K93"/>
  <c r="I92"/>
  <c r="M91"/>
  <c r="I91"/>
  <c r="I90"/>
  <c r="M87"/>
  <c r="I87"/>
  <c r="I86"/>
  <c r="P80"/>
  <c r="Q80" s="1"/>
  <c r="I80"/>
  <c r="K78"/>
  <c r="P77"/>
  <c r="V77" s="1"/>
  <c r="M77"/>
  <c r="K144"/>
  <c r="L131"/>
  <c r="I131"/>
  <c r="I159"/>
  <c r="K155"/>
  <c r="AA153"/>
  <c r="AA150"/>
  <c r="AB180"/>
  <c r="AB177"/>
  <c r="X181"/>
  <c r="AB181"/>
  <c r="P176"/>
  <c r="U176" s="1"/>
  <c r="L176"/>
  <c r="J176"/>
  <c r="K172"/>
  <c r="M172"/>
  <c r="I170"/>
  <c r="I145"/>
  <c r="J143"/>
  <c r="I142"/>
  <c r="I141"/>
  <c r="I140"/>
  <c r="I139"/>
  <c r="I136"/>
  <c r="I135"/>
  <c r="J132"/>
  <c r="I130"/>
  <c r="I129"/>
  <c r="K128"/>
  <c r="I127"/>
  <c r="I126"/>
  <c r="K125"/>
  <c r="L124"/>
  <c r="P114"/>
  <c r="I114"/>
  <c r="I121"/>
  <c r="K120"/>
  <c r="I119"/>
  <c r="L118"/>
  <c r="I116"/>
  <c r="K113"/>
  <c r="I113"/>
  <c r="I111"/>
  <c r="L110"/>
  <c r="K103"/>
  <c r="K102"/>
  <c r="K101"/>
  <c r="I101"/>
  <c r="I102"/>
  <c r="I103"/>
  <c r="L64"/>
  <c r="K63"/>
  <c r="I65"/>
  <c r="I64"/>
  <c r="I63"/>
  <c r="L48"/>
  <c r="P47"/>
  <c r="Q47" s="1"/>
  <c r="K47"/>
  <c r="P45"/>
  <c r="Q45" s="1"/>
  <c r="L45"/>
  <c r="J45"/>
  <c r="K83"/>
  <c r="K77"/>
  <c r="J144"/>
  <c r="M133"/>
  <c r="I133"/>
  <c r="J131"/>
  <c r="P158"/>
  <c r="X158" s="1"/>
  <c r="P156"/>
  <c r="Z156" s="1"/>
  <c r="L156"/>
  <c r="I156"/>
  <c r="M155"/>
  <c r="I155"/>
  <c r="P190"/>
  <c r="Q190" s="1"/>
  <c r="M95"/>
  <c r="K95"/>
  <c r="K138"/>
  <c r="K137"/>
  <c r="P123"/>
  <c r="AA123" s="1"/>
  <c r="M123"/>
  <c r="I123"/>
  <c r="J118"/>
  <c r="H104"/>
  <c r="K104"/>
  <c r="M104"/>
  <c r="Q153"/>
  <c r="T153"/>
  <c r="V153"/>
  <c r="X153"/>
  <c r="Z153"/>
  <c r="AB153"/>
  <c r="H153"/>
  <c r="I153"/>
  <c r="M153"/>
  <c r="Q150"/>
  <c r="R150"/>
  <c r="V150"/>
  <c r="X150"/>
  <c r="Z150"/>
  <c r="AB150"/>
  <c r="H150"/>
  <c r="J150"/>
  <c r="M150"/>
  <c r="Q181"/>
  <c r="T181"/>
  <c r="W181"/>
  <c r="Y181"/>
  <c r="AA181"/>
  <c r="H181"/>
  <c r="I181"/>
  <c r="M181"/>
  <c r="Q180"/>
  <c r="S180"/>
  <c r="W180"/>
  <c r="Y180"/>
  <c r="AA180"/>
  <c r="H180"/>
  <c r="I180"/>
  <c r="M180"/>
  <c r="Q178"/>
  <c r="T178"/>
  <c r="X178"/>
  <c r="AB178"/>
  <c r="H178"/>
  <c r="I178"/>
  <c r="M178"/>
  <c r="Q177"/>
  <c r="S177"/>
  <c r="W177"/>
  <c r="Y177"/>
  <c r="AA177"/>
  <c r="H177"/>
  <c r="I177"/>
  <c r="M177"/>
  <c r="H174"/>
  <c r="J174"/>
  <c r="L174"/>
  <c r="P174"/>
  <c r="S174" s="1"/>
  <c r="Q192"/>
  <c r="R192"/>
  <c r="V192"/>
  <c r="Z192"/>
  <c r="AB192"/>
  <c r="H192"/>
  <c r="I192"/>
  <c r="M192"/>
  <c r="H200"/>
  <c r="I200"/>
  <c r="K42"/>
  <c r="I48"/>
  <c r="P160"/>
  <c r="W160" s="1"/>
  <c r="H110"/>
  <c r="K110"/>
  <c r="M110"/>
  <c r="H107"/>
  <c r="I107"/>
  <c r="K107"/>
  <c r="M107"/>
  <c r="H105"/>
  <c r="J105"/>
  <c r="L105"/>
  <c r="P105"/>
  <c r="V105" s="1"/>
  <c r="H160"/>
  <c r="I160"/>
  <c r="K160"/>
  <c r="M160"/>
  <c r="H158"/>
  <c r="I158"/>
  <c r="M158"/>
  <c r="H157"/>
  <c r="I157"/>
  <c r="L157"/>
  <c r="P157"/>
  <c r="H173"/>
  <c r="I173"/>
  <c r="M173"/>
  <c r="H172"/>
  <c r="J172"/>
  <c r="L172"/>
  <c r="P172"/>
  <c r="S172" s="1"/>
  <c r="H171"/>
  <c r="I171"/>
  <c r="L171"/>
  <c r="P171"/>
  <c r="H190"/>
  <c r="K190"/>
  <c r="M190"/>
  <c r="H188"/>
  <c r="K188"/>
  <c r="M188"/>
  <c r="H187"/>
  <c r="I187"/>
  <c r="L187"/>
  <c r="P187"/>
  <c r="H42"/>
  <c r="H52" s="1"/>
  <c r="I45"/>
  <c r="M83"/>
  <c r="I83"/>
  <c r="K81"/>
  <c r="M80"/>
  <c r="K80"/>
  <c r="M78"/>
  <c r="I78"/>
  <c r="L77"/>
  <c r="I77"/>
  <c r="M73"/>
  <c r="I73"/>
  <c r="M72"/>
  <c r="K72"/>
  <c r="M71"/>
  <c r="K71"/>
  <c r="M70"/>
  <c r="I70"/>
  <c r="M69"/>
  <c r="K69"/>
  <c r="M65"/>
  <c r="K65"/>
  <c r="M64"/>
  <c r="K64"/>
  <c r="P143"/>
  <c r="U143" s="1"/>
  <c r="K143"/>
  <c r="I143"/>
  <c r="L139"/>
  <c r="J139"/>
  <c r="I138"/>
  <c r="P137"/>
  <c r="Z137" s="1"/>
  <c r="M137"/>
  <c r="I137"/>
  <c r="K134"/>
  <c r="L133"/>
  <c r="J133"/>
  <c r="P132"/>
  <c r="Y132" s="1"/>
  <c r="K132"/>
  <c r="I132"/>
  <c r="X130"/>
  <c r="AA129"/>
  <c r="L129"/>
  <c r="J129"/>
  <c r="P127"/>
  <c r="S127" s="1"/>
  <c r="K127"/>
  <c r="L126"/>
  <c r="J126"/>
  <c r="P125"/>
  <c r="AA125" s="1"/>
  <c r="I125"/>
  <c r="J124"/>
  <c r="K122"/>
  <c r="P120"/>
  <c r="AA120" s="1"/>
  <c r="I120"/>
  <c r="P118"/>
  <c r="K118"/>
  <c r="I118"/>
  <c r="M114"/>
  <c r="K114"/>
  <c r="P104"/>
  <c r="S104" s="1"/>
  <c r="I104"/>
  <c r="Y153"/>
  <c r="U153"/>
  <c r="K153"/>
  <c r="Y150"/>
  <c r="T150"/>
  <c r="L150"/>
  <c r="Z181"/>
  <c r="V181"/>
  <c r="K181"/>
  <c r="Z180"/>
  <c r="U180"/>
  <c r="K180"/>
  <c r="V178"/>
  <c r="K178"/>
  <c r="Z177"/>
  <c r="U177"/>
  <c r="K177"/>
  <c r="M174"/>
  <c r="I174"/>
  <c r="AA192"/>
  <c r="T192"/>
  <c r="L192"/>
  <c r="L200"/>
  <c r="Q42"/>
  <c r="I42"/>
  <c r="L42"/>
  <c r="L44"/>
  <c r="J44"/>
  <c r="M43"/>
  <c r="K43"/>
  <c r="P94"/>
  <c r="M94"/>
  <c r="K94"/>
  <c r="L93"/>
  <c r="I93"/>
  <c r="P92"/>
  <c r="M92"/>
  <c r="K92"/>
  <c r="P90"/>
  <c r="M90"/>
  <c r="K90"/>
  <c r="M89"/>
  <c r="I89"/>
  <c r="P86"/>
  <c r="M86"/>
  <c r="K86"/>
  <c r="M85"/>
  <c r="I85"/>
  <c r="M42"/>
  <c r="M48"/>
  <c r="K48"/>
  <c r="L47"/>
  <c r="I47"/>
  <c r="P81"/>
  <c r="M81"/>
  <c r="I81"/>
  <c r="J77"/>
  <c r="K73"/>
  <c r="L66"/>
  <c r="J66"/>
  <c r="L100"/>
  <c r="P100"/>
  <c r="AA100" s="1"/>
  <c r="P141"/>
  <c r="W141" s="1"/>
  <c r="L141"/>
  <c r="J141"/>
  <c r="L137"/>
  <c r="J137"/>
  <c r="L135"/>
  <c r="J135"/>
  <c r="P134"/>
  <c r="I134"/>
  <c r="H100"/>
  <c r="L145"/>
  <c r="J145"/>
  <c r="I144"/>
  <c r="K121"/>
  <c r="L120"/>
  <c r="J120"/>
  <c r="L119"/>
  <c r="J119"/>
  <c r="I161"/>
  <c r="L158"/>
  <c r="J158"/>
  <c r="J157"/>
  <c r="J156"/>
  <c r="L155"/>
  <c r="J155"/>
  <c r="J154"/>
  <c r="L169"/>
  <c r="I169"/>
  <c r="K192"/>
  <c r="I128"/>
  <c r="L125"/>
  <c r="J125"/>
  <c r="P124"/>
  <c r="K124"/>
  <c r="I124"/>
  <c r="L123"/>
  <c r="J123"/>
  <c r="L116"/>
  <c r="J116"/>
  <c r="L113"/>
  <c r="J113"/>
  <c r="P164"/>
  <c r="M164"/>
  <c r="K164"/>
  <c r="I164"/>
  <c r="Z162"/>
  <c r="V162"/>
  <c r="R162"/>
  <c r="L162"/>
  <c r="J162"/>
  <c r="R153"/>
  <c r="L153"/>
  <c r="J153"/>
  <c r="K150"/>
  <c r="I150"/>
  <c r="U181"/>
  <c r="R181"/>
  <c r="L181"/>
  <c r="J181"/>
  <c r="V180"/>
  <c r="T180"/>
  <c r="R180"/>
  <c r="L180"/>
  <c r="J180"/>
  <c r="AA178"/>
  <c r="Y178"/>
  <c r="W178"/>
  <c r="U178"/>
  <c r="R178"/>
  <c r="L178"/>
  <c r="J178"/>
  <c r="V177"/>
  <c r="T177"/>
  <c r="R177"/>
  <c r="L177"/>
  <c r="J177"/>
  <c r="L175"/>
  <c r="J175"/>
  <c r="L173"/>
  <c r="J173"/>
  <c r="J170"/>
  <c r="P200"/>
  <c r="U200" s="1"/>
  <c r="M200"/>
  <c r="K200"/>
  <c r="H198"/>
  <c r="L198"/>
  <c r="P198"/>
  <c r="I198"/>
  <c r="K198"/>
  <c r="Y192"/>
  <c r="W192"/>
  <c r="U192"/>
  <c r="S192"/>
  <c r="H186"/>
  <c r="L186"/>
  <c r="P186"/>
  <c r="I186"/>
  <c r="K186"/>
  <c r="S178"/>
  <c r="J171"/>
  <c r="J169"/>
  <c r="S181"/>
  <c r="H168"/>
  <c r="J168"/>
  <c r="L168"/>
  <c r="P168"/>
  <c r="I168"/>
  <c r="K168"/>
  <c r="S153"/>
  <c r="Y162"/>
  <c r="W162"/>
  <c r="U162"/>
  <c r="S162"/>
  <c r="J161"/>
  <c r="P159"/>
  <c r="L159"/>
  <c r="J159"/>
  <c r="U150"/>
  <c r="S150"/>
  <c r="H149"/>
  <c r="L149"/>
  <c r="P149"/>
  <c r="I149"/>
  <c r="K149"/>
  <c r="J142"/>
  <c r="P140"/>
  <c r="L140"/>
  <c r="J140"/>
  <c r="P138"/>
  <c r="L138"/>
  <c r="J138"/>
  <c r="P136"/>
  <c r="L136"/>
  <c r="J136"/>
  <c r="L134"/>
  <c r="J134"/>
  <c r="I100"/>
  <c r="K100"/>
  <c r="L70"/>
  <c r="L91"/>
  <c r="P89"/>
  <c r="L89"/>
  <c r="P87"/>
  <c r="L87"/>
  <c r="P85"/>
  <c r="L85"/>
  <c r="P83"/>
  <c r="L83"/>
  <c r="J83"/>
  <c r="L81"/>
  <c r="P79"/>
  <c r="L79"/>
  <c r="P78"/>
  <c r="L78"/>
  <c r="H62"/>
  <c r="H96" s="1"/>
  <c r="L62"/>
  <c r="P62"/>
  <c r="I62"/>
  <c r="K62"/>
  <c r="H55"/>
  <c r="H58" s="1"/>
  <c r="J55"/>
  <c r="L55"/>
  <c r="P55"/>
  <c r="I55"/>
  <c r="K55"/>
  <c r="R144" l="1"/>
  <c r="Y176"/>
  <c r="S66"/>
  <c r="X144"/>
  <c r="AA108"/>
  <c r="AB119"/>
  <c r="U160"/>
  <c r="U119"/>
  <c r="Z133"/>
  <c r="AA189"/>
  <c r="U199"/>
  <c r="AB66"/>
  <c r="Z189"/>
  <c r="Y77"/>
  <c r="S106"/>
  <c r="T119"/>
  <c r="S122"/>
  <c r="S115"/>
  <c r="AA103"/>
  <c r="Z193"/>
  <c r="AA122"/>
  <c r="T169"/>
  <c r="R107"/>
  <c r="Y108"/>
  <c r="U77"/>
  <c r="U113"/>
  <c r="Z107"/>
  <c r="U108"/>
  <c r="X122"/>
  <c r="S123"/>
  <c r="X107"/>
  <c r="W107"/>
  <c r="R103"/>
  <c r="V108"/>
  <c r="W102"/>
  <c r="AA102"/>
  <c r="Z190"/>
  <c r="AB135"/>
  <c r="S103"/>
  <c r="Y133"/>
  <c r="U141"/>
  <c r="V123"/>
  <c r="T129"/>
  <c r="T189"/>
  <c r="G10" i="22"/>
  <c r="D12" i="19"/>
  <c r="G13" i="22"/>
  <c r="D10" i="19"/>
  <c r="G14" i="22"/>
  <c r="D11" i="19"/>
  <c r="L14" i="22"/>
  <c r="I11" i="19"/>
  <c r="S77" i="16"/>
  <c r="W77"/>
  <c r="AA77"/>
  <c r="U121"/>
  <c r="U133"/>
  <c r="W151"/>
  <c r="W175"/>
  <c r="V199"/>
  <c r="U111"/>
  <c r="R119"/>
  <c r="AB145"/>
  <c r="R77"/>
  <c r="W122"/>
  <c r="Y123"/>
  <c r="Z77"/>
  <c r="U173"/>
  <c r="T133"/>
  <c r="AB133"/>
  <c r="V106"/>
  <c r="X121"/>
  <c r="AA132"/>
  <c r="AA139"/>
  <c r="S175"/>
  <c r="Y175"/>
  <c r="Y144"/>
  <c r="Y137"/>
  <c r="S139"/>
  <c r="S102"/>
  <c r="S190"/>
  <c r="R175"/>
  <c r="W132"/>
  <c r="V137"/>
  <c r="Z126"/>
  <c r="R66"/>
  <c r="T77"/>
  <c r="Y156"/>
  <c r="T190"/>
  <c r="AB176"/>
  <c r="Y154"/>
  <c r="X77"/>
  <c r="V102"/>
  <c r="T108"/>
  <c r="AA115"/>
  <c r="Z102"/>
  <c r="W108"/>
  <c r="U103"/>
  <c r="S144"/>
  <c r="T144"/>
  <c r="Z144"/>
  <c r="T162"/>
  <c r="AB144"/>
  <c r="Z175"/>
  <c r="AB162"/>
  <c r="Z139"/>
  <c r="S131"/>
  <c r="U137"/>
  <c r="W145"/>
  <c r="W158"/>
  <c r="R156"/>
  <c r="R151"/>
  <c r="T102"/>
  <c r="W115"/>
  <c r="S108"/>
  <c r="Z108"/>
  <c r="S151"/>
  <c r="W170"/>
  <c r="X155"/>
  <c r="T121"/>
  <c r="R133"/>
  <c r="Q179"/>
  <c r="AB158"/>
  <c r="AB155"/>
  <c r="S133"/>
  <c r="AA133"/>
  <c r="W139"/>
  <c r="Y151"/>
  <c r="S173"/>
  <c r="R193"/>
  <c r="S132"/>
  <c r="AB139"/>
  <c r="T145"/>
  <c r="S189"/>
  <c r="AB154"/>
  <c r="AA107"/>
  <c r="AA151"/>
  <c r="X139"/>
  <c r="AB179"/>
  <c r="V103"/>
  <c r="T175"/>
  <c r="X133"/>
  <c r="U144"/>
  <c r="AB175"/>
  <c r="AA144"/>
  <c r="V144"/>
  <c r="Z121"/>
  <c r="X162"/>
  <c r="W133"/>
  <c r="U151"/>
  <c r="R191"/>
  <c r="T116"/>
  <c r="AA121"/>
  <c r="V133"/>
  <c r="Z151"/>
  <c r="W144"/>
  <c r="T193"/>
  <c r="K58"/>
  <c r="W109"/>
  <c r="S119"/>
  <c r="U135"/>
  <c r="S112"/>
  <c r="S158"/>
  <c r="AA158"/>
  <c r="S170"/>
  <c r="AA170"/>
  <c r="U188"/>
  <c r="AA113"/>
  <c r="V158"/>
  <c r="R104"/>
  <c r="X119"/>
  <c r="U120"/>
  <c r="AB170"/>
  <c r="V126"/>
  <c r="X66"/>
  <c r="Y179"/>
  <c r="W152"/>
  <c r="T154"/>
  <c r="Q158"/>
  <c r="AB169"/>
  <c r="V170"/>
  <c r="X110"/>
  <c r="W119"/>
  <c r="V152"/>
  <c r="Z103"/>
  <c r="AA119"/>
  <c r="W130"/>
  <c r="Y103"/>
  <c r="Y126"/>
  <c r="AA126"/>
  <c r="E172"/>
  <c r="E174"/>
  <c r="E45"/>
  <c r="I58"/>
  <c r="L58"/>
  <c r="T100"/>
  <c r="S109"/>
  <c r="S111"/>
  <c r="W117"/>
  <c r="S143"/>
  <c r="S152"/>
  <c r="U158"/>
  <c r="Y158"/>
  <c r="Y160"/>
  <c r="U172"/>
  <c r="V113"/>
  <c r="T126"/>
  <c r="AA191"/>
  <c r="R158"/>
  <c r="Z158"/>
  <c r="Y120"/>
  <c r="U66"/>
  <c r="T111"/>
  <c r="U122"/>
  <c r="Y122"/>
  <c r="S126"/>
  <c r="X126"/>
  <c r="S129"/>
  <c r="T130"/>
  <c r="V66"/>
  <c r="Y173"/>
  <c r="Q173"/>
  <c r="AA152"/>
  <c r="R152"/>
  <c r="T158"/>
  <c r="E131"/>
  <c r="S130"/>
  <c r="V101"/>
  <c r="W101"/>
  <c r="T103"/>
  <c r="X103"/>
  <c r="X109"/>
  <c r="W103"/>
  <c r="T122"/>
  <c r="T106"/>
  <c r="E56"/>
  <c r="E152"/>
  <c r="U126"/>
  <c r="W126"/>
  <c r="M195"/>
  <c r="Z214"/>
  <c r="Y46"/>
  <c r="Y100"/>
  <c r="S101"/>
  <c r="W105"/>
  <c r="S113"/>
  <c r="W113"/>
  <c r="S121"/>
  <c r="W121"/>
  <c r="S125"/>
  <c r="Y135"/>
  <c r="U139"/>
  <c r="Y139"/>
  <c r="S145"/>
  <c r="I165"/>
  <c r="S155"/>
  <c r="K183"/>
  <c r="U175"/>
  <c r="S179"/>
  <c r="E169"/>
  <c r="U170"/>
  <c r="Y170"/>
  <c r="E171"/>
  <c r="H202"/>
  <c r="Y199"/>
  <c r="V175"/>
  <c r="AA175"/>
  <c r="R101"/>
  <c r="R113"/>
  <c r="Y113"/>
  <c r="Y125"/>
  <c r="R155"/>
  <c r="V121"/>
  <c r="V145"/>
  <c r="V135"/>
  <c r="V139"/>
  <c r="W169"/>
  <c r="W110"/>
  <c r="Y111"/>
  <c r="AB116"/>
  <c r="Y121"/>
  <c r="X128"/>
  <c r="W129"/>
  <c r="T139"/>
  <c r="W189"/>
  <c r="Q176"/>
  <c r="U179"/>
  <c r="X169"/>
  <c r="Q169"/>
  <c r="Q170"/>
  <c r="T110"/>
  <c r="V111"/>
  <c r="X135"/>
  <c r="X145"/>
  <c r="Y155"/>
  <c r="V131"/>
  <c r="U101"/>
  <c r="X111"/>
  <c r="V129"/>
  <c r="X131"/>
  <c r="Y169"/>
  <c r="U115"/>
  <c r="R117"/>
  <c r="X189"/>
  <c r="W116"/>
  <c r="X101"/>
  <c r="AA116"/>
  <c r="Z101"/>
  <c r="X175"/>
  <c r="AA101"/>
  <c r="AB121"/>
  <c r="AB113"/>
  <c r="Z129"/>
  <c r="U127"/>
  <c r="Y141"/>
  <c r="W190"/>
  <c r="U125"/>
  <c r="R190"/>
  <c r="V119"/>
  <c r="Z119"/>
  <c r="E144"/>
  <c r="T170"/>
  <c r="W111"/>
  <c r="AA111"/>
  <c r="X116"/>
  <c r="Y119"/>
  <c r="U129"/>
  <c r="Y129"/>
  <c r="AA173"/>
  <c r="W173"/>
  <c r="AA179"/>
  <c r="W179"/>
  <c r="R179"/>
  <c r="AB151"/>
  <c r="V151"/>
  <c r="Q151"/>
  <c r="Y152"/>
  <c r="U152"/>
  <c r="Q152"/>
  <c r="X154"/>
  <c r="Q154"/>
  <c r="T188"/>
  <c r="Z170"/>
  <c r="R170"/>
  <c r="X152"/>
  <c r="T101"/>
  <c r="S116"/>
  <c r="X129"/>
  <c r="X179"/>
  <c r="T113"/>
  <c r="X113"/>
  <c r="V179"/>
  <c r="X151"/>
  <c r="Z111"/>
  <c r="E115"/>
  <c r="U116"/>
  <c r="Y101"/>
  <c r="Z179"/>
  <c r="E111"/>
  <c r="Z113"/>
  <c r="Y193"/>
  <c r="E179"/>
  <c r="J58"/>
  <c r="K96"/>
  <c r="Q100"/>
  <c r="I146"/>
  <c r="S105"/>
  <c r="S107"/>
  <c r="U109"/>
  <c r="S117"/>
  <c r="U123"/>
  <c r="S135"/>
  <c r="W135"/>
  <c r="AA135"/>
  <c r="U145"/>
  <c r="Y145"/>
  <c r="U102"/>
  <c r="Y102"/>
  <c r="U156"/>
  <c r="U155"/>
  <c r="S176"/>
  <c r="Y188"/>
  <c r="U190"/>
  <c r="Y190"/>
  <c r="R123"/>
  <c r="X123"/>
  <c r="R125"/>
  <c r="W125"/>
  <c r="V190"/>
  <c r="AB190"/>
  <c r="W191"/>
  <c r="V155"/>
  <c r="R102"/>
  <c r="R145"/>
  <c r="Z145"/>
  <c r="U132"/>
  <c r="R135"/>
  <c r="Z135"/>
  <c r="E77"/>
  <c r="X190"/>
  <c r="S169"/>
  <c r="AA169"/>
  <c r="M183"/>
  <c r="T107"/>
  <c r="S110"/>
  <c r="AA110"/>
  <c r="V116"/>
  <c r="Z116"/>
  <c r="T123"/>
  <c r="T128"/>
  <c r="V130"/>
  <c r="Z130"/>
  <c r="E133"/>
  <c r="T135"/>
  <c r="AA145"/>
  <c r="T156"/>
  <c r="AB188"/>
  <c r="AA190"/>
  <c r="Z169"/>
  <c r="V169"/>
  <c r="R169"/>
  <c r="Y107"/>
  <c r="U107"/>
  <c r="Z110"/>
  <c r="V110"/>
  <c r="R110"/>
  <c r="S128"/>
  <c r="T155"/>
  <c r="AA155"/>
  <c r="W155"/>
  <c r="T191"/>
  <c r="X102"/>
  <c r="Y110"/>
  <c r="Y116"/>
  <c r="U130"/>
  <c r="Z155"/>
  <c r="T109"/>
  <c r="Z109"/>
  <c r="E151"/>
  <c r="Y130"/>
  <c r="V109"/>
  <c r="Y109"/>
  <c r="AA109"/>
  <c r="U100"/>
  <c r="X100"/>
  <c r="N153"/>
  <c r="AA130"/>
  <c r="T152"/>
  <c r="Z152"/>
  <c r="H195"/>
  <c r="S193"/>
  <c r="U193"/>
  <c r="W193"/>
  <c r="AA193"/>
  <c r="Q193"/>
  <c r="X193"/>
  <c r="AB193"/>
  <c r="K202"/>
  <c r="T173"/>
  <c r="V173"/>
  <c r="Z173"/>
  <c r="X173"/>
  <c r="AB173"/>
  <c r="S200"/>
  <c r="Q52"/>
  <c r="M10" i="19" s="1"/>
  <c r="E176" i="16"/>
  <c r="R122"/>
  <c r="V122"/>
  <c r="Z122"/>
  <c r="R106"/>
  <c r="W106"/>
  <c r="Z106"/>
  <c r="U106"/>
  <c r="Y106"/>
  <c r="AA106"/>
  <c r="E105"/>
  <c r="R161"/>
  <c r="T161"/>
  <c r="V161"/>
  <c r="X161"/>
  <c r="Z161"/>
  <c r="AB161"/>
  <c r="Q161"/>
  <c r="S161"/>
  <c r="U161"/>
  <c r="W161"/>
  <c r="Y161"/>
  <c r="AA161"/>
  <c r="Q112"/>
  <c r="V112"/>
  <c r="X112"/>
  <c r="Z112"/>
  <c r="AB112"/>
  <c r="U112"/>
  <c r="W112"/>
  <c r="Y112"/>
  <c r="AA112"/>
  <c r="Q117"/>
  <c r="Z117"/>
  <c r="V117"/>
  <c r="AB117"/>
  <c r="R128"/>
  <c r="AA128"/>
  <c r="Y128"/>
  <c r="R142"/>
  <c r="U142"/>
  <c r="W142"/>
  <c r="Y142"/>
  <c r="AA142"/>
  <c r="T142"/>
  <c r="V142"/>
  <c r="X142"/>
  <c r="Z142"/>
  <c r="AB142"/>
  <c r="I96"/>
  <c r="W100"/>
  <c r="S100"/>
  <c r="K146"/>
  <c r="Z100"/>
  <c r="V100"/>
  <c r="R100"/>
  <c r="U105"/>
  <c r="Y105"/>
  <c r="U117"/>
  <c r="Y117"/>
  <c r="U131"/>
  <c r="S137"/>
  <c r="W137"/>
  <c r="AA137"/>
  <c r="S141"/>
  <c r="K165"/>
  <c r="H165"/>
  <c r="S156"/>
  <c r="S160"/>
  <c r="E161"/>
  <c r="I183"/>
  <c r="H183"/>
  <c r="S191"/>
  <c r="S188"/>
  <c r="W188"/>
  <c r="AA188"/>
  <c r="I202"/>
  <c r="L202"/>
  <c r="S199"/>
  <c r="W199"/>
  <c r="AA199"/>
  <c r="R199"/>
  <c r="Z199"/>
  <c r="M202"/>
  <c r="R188"/>
  <c r="E170"/>
  <c r="E173"/>
  <c r="E175"/>
  <c r="E177"/>
  <c r="M165"/>
  <c r="U191"/>
  <c r="Y191"/>
  <c r="K195"/>
  <c r="E154"/>
  <c r="E156"/>
  <c r="E157"/>
  <c r="S120"/>
  <c r="W120"/>
  <c r="H146"/>
  <c r="E137"/>
  <c r="R137"/>
  <c r="E66"/>
  <c r="M96"/>
  <c r="V188"/>
  <c r="V128"/>
  <c r="Z128"/>
  <c r="I195"/>
  <c r="Y189"/>
  <c r="U189"/>
  <c r="Q189"/>
  <c r="Z154"/>
  <c r="V154"/>
  <c r="R154"/>
  <c r="AA156"/>
  <c r="W156"/>
  <c r="Q156"/>
  <c r="X188"/>
  <c r="Q188"/>
  <c r="W128"/>
  <c r="V189"/>
  <c r="U154"/>
  <c r="R131"/>
  <c r="W154"/>
  <c r="T131"/>
  <c r="Z131"/>
  <c r="AB189"/>
  <c r="AB191"/>
  <c r="T199"/>
  <c r="AA154"/>
  <c r="T117"/>
  <c r="AA117"/>
  <c r="T112"/>
  <c r="Q115"/>
  <c r="R115"/>
  <c r="V115"/>
  <c r="Z115"/>
  <c r="T115"/>
  <c r="X115"/>
  <c r="AB115"/>
  <c r="L165"/>
  <c r="N150"/>
  <c r="E159"/>
  <c r="J183"/>
  <c r="N192"/>
  <c r="Q131"/>
  <c r="AA131"/>
  <c r="Y131"/>
  <c r="AB131"/>
  <c r="Q199"/>
  <c r="X199"/>
  <c r="N177"/>
  <c r="E180"/>
  <c r="N180"/>
  <c r="E44"/>
  <c r="Q191"/>
  <c r="V191"/>
  <c r="Z191"/>
  <c r="Q77"/>
  <c r="AB77"/>
  <c r="L96"/>
  <c r="E83"/>
  <c r="M52"/>
  <c r="Q66"/>
  <c r="T66"/>
  <c r="Y66"/>
  <c r="W66"/>
  <c r="AA66"/>
  <c r="E123"/>
  <c r="T176"/>
  <c r="Z176"/>
  <c r="V176"/>
  <c r="AA176"/>
  <c r="W176"/>
  <c r="R176"/>
  <c r="X176"/>
  <c r="Q123"/>
  <c r="Z123"/>
  <c r="W123"/>
  <c r="AB123"/>
  <c r="V156"/>
  <c r="X156"/>
  <c r="AB156"/>
  <c r="L183"/>
  <c r="N181"/>
  <c r="N178"/>
  <c r="E162"/>
  <c r="E155"/>
  <c r="E158"/>
  <c r="R118"/>
  <c r="T118"/>
  <c r="V118"/>
  <c r="X118"/>
  <c r="Z118"/>
  <c r="AB118"/>
  <c r="Q118"/>
  <c r="S118"/>
  <c r="U118"/>
  <c r="W118"/>
  <c r="Y118"/>
  <c r="AA118"/>
  <c r="Q120"/>
  <c r="T120"/>
  <c r="X120"/>
  <c r="AB120"/>
  <c r="R120"/>
  <c r="V120"/>
  <c r="Z120"/>
  <c r="Q137"/>
  <c r="X137"/>
  <c r="T137"/>
  <c r="AB137"/>
  <c r="T143"/>
  <c r="W143"/>
  <c r="Y143"/>
  <c r="AA143"/>
  <c r="R143"/>
  <c r="V143"/>
  <c r="X143"/>
  <c r="Z143"/>
  <c r="AB143"/>
  <c r="Q187"/>
  <c r="S187"/>
  <c r="U187"/>
  <c r="W187"/>
  <c r="Y187"/>
  <c r="AA187"/>
  <c r="T187"/>
  <c r="X187"/>
  <c r="AB187"/>
  <c r="R187"/>
  <c r="V187"/>
  <c r="Z187"/>
  <c r="S171"/>
  <c r="U171"/>
  <c r="W171"/>
  <c r="Y171"/>
  <c r="AA171"/>
  <c r="T171"/>
  <c r="X171"/>
  <c r="AB171"/>
  <c r="R171"/>
  <c r="V171"/>
  <c r="Z171"/>
  <c r="Q172"/>
  <c r="T172"/>
  <c r="W172"/>
  <c r="Y172"/>
  <c r="AA172"/>
  <c r="R172"/>
  <c r="X172"/>
  <c r="AB172"/>
  <c r="V172"/>
  <c r="Z172"/>
  <c r="Q157"/>
  <c r="S157"/>
  <c r="U157"/>
  <c r="W157"/>
  <c r="Y157"/>
  <c r="AA157"/>
  <c r="T157"/>
  <c r="X157"/>
  <c r="AB157"/>
  <c r="R157"/>
  <c r="V157"/>
  <c r="Z157"/>
  <c r="R105"/>
  <c r="X105"/>
  <c r="AA105"/>
  <c r="T105"/>
  <c r="Z105"/>
  <c r="Q160"/>
  <c r="R160"/>
  <c r="V160"/>
  <c r="Z160"/>
  <c r="AB160"/>
  <c r="T160"/>
  <c r="AA160"/>
  <c r="X160"/>
  <c r="Q174"/>
  <c r="T174"/>
  <c r="V174"/>
  <c r="X174"/>
  <c r="Z174"/>
  <c r="AB174"/>
  <c r="U174"/>
  <c r="Y174"/>
  <c r="R174"/>
  <c r="W174"/>
  <c r="AA174"/>
  <c r="E178"/>
  <c r="E181"/>
  <c r="E150"/>
  <c r="E153"/>
  <c r="E164"/>
  <c r="E113"/>
  <c r="K52"/>
  <c r="Q104"/>
  <c r="T104"/>
  <c r="V104"/>
  <c r="X104"/>
  <c r="Z104"/>
  <c r="W104"/>
  <c r="AA104"/>
  <c r="U104"/>
  <c r="Y104"/>
  <c r="Q125"/>
  <c r="V125"/>
  <c r="Z125"/>
  <c r="T125"/>
  <c r="X125"/>
  <c r="AB125"/>
  <c r="T127"/>
  <c r="W127"/>
  <c r="Y127"/>
  <c r="AA127"/>
  <c r="R127"/>
  <c r="V127"/>
  <c r="X127"/>
  <c r="Z127"/>
  <c r="Q132"/>
  <c r="T132"/>
  <c r="X132"/>
  <c r="AB132"/>
  <c r="R132"/>
  <c r="V132"/>
  <c r="Z132"/>
  <c r="L195"/>
  <c r="E160"/>
  <c r="E107"/>
  <c r="Q124"/>
  <c r="Q134"/>
  <c r="S134"/>
  <c r="U134"/>
  <c r="W134"/>
  <c r="Y134"/>
  <c r="AA134"/>
  <c r="R134"/>
  <c r="T134"/>
  <c r="V134"/>
  <c r="X134"/>
  <c r="Z134"/>
  <c r="AB134"/>
  <c r="Q81"/>
  <c r="Q94"/>
  <c r="L52"/>
  <c r="Q200"/>
  <c r="T200"/>
  <c r="W200"/>
  <c r="Y200"/>
  <c r="AA200"/>
  <c r="R200"/>
  <c r="V200"/>
  <c r="X200"/>
  <c r="Z200"/>
  <c r="AB200"/>
  <c r="R164"/>
  <c r="T164"/>
  <c r="V164"/>
  <c r="X164"/>
  <c r="Z164"/>
  <c r="AB164"/>
  <c r="Q164"/>
  <c r="S164"/>
  <c r="U164"/>
  <c r="W164"/>
  <c r="Y164"/>
  <c r="AA164"/>
  <c r="R141"/>
  <c r="V141"/>
  <c r="Z141"/>
  <c r="AB141"/>
  <c r="T141"/>
  <c r="X141"/>
  <c r="AA141"/>
  <c r="Q86"/>
  <c r="Q90"/>
  <c r="Q92"/>
  <c r="L146"/>
  <c r="I52"/>
  <c r="AA198"/>
  <c r="Y198"/>
  <c r="W198"/>
  <c r="U198"/>
  <c r="S198"/>
  <c r="Q198"/>
  <c r="AB198"/>
  <c r="Z198"/>
  <c r="X198"/>
  <c r="V198"/>
  <c r="T198"/>
  <c r="R198"/>
  <c r="AA186"/>
  <c r="Y186"/>
  <c r="W186"/>
  <c r="U186"/>
  <c r="S186"/>
  <c r="Q186"/>
  <c r="AB186"/>
  <c r="Z186"/>
  <c r="X186"/>
  <c r="V186"/>
  <c r="T186"/>
  <c r="R186"/>
  <c r="E168"/>
  <c r="AA168"/>
  <c r="Y168"/>
  <c r="W168"/>
  <c r="U168"/>
  <c r="S168"/>
  <c r="Q168"/>
  <c r="AB168"/>
  <c r="Z168"/>
  <c r="X168"/>
  <c r="V168"/>
  <c r="T168"/>
  <c r="R168"/>
  <c r="R159"/>
  <c r="T159"/>
  <c r="V159"/>
  <c r="X159"/>
  <c r="Z159"/>
  <c r="AB159"/>
  <c r="Q159"/>
  <c r="S159"/>
  <c r="U159"/>
  <c r="W159"/>
  <c r="Y159"/>
  <c r="AA159"/>
  <c r="AA149"/>
  <c r="Y149"/>
  <c r="W149"/>
  <c r="U149"/>
  <c r="S149"/>
  <c r="Q149"/>
  <c r="AB149"/>
  <c r="Z149"/>
  <c r="X149"/>
  <c r="V149"/>
  <c r="T149"/>
  <c r="R149"/>
  <c r="R136"/>
  <c r="T136"/>
  <c r="V136"/>
  <c r="X136"/>
  <c r="Z136"/>
  <c r="AB136"/>
  <c r="Q136"/>
  <c r="S136"/>
  <c r="U136"/>
  <c r="W136"/>
  <c r="Y136"/>
  <c r="AA136"/>
  <c r="R138"/>
  <c r="T138"/>
  <c r="V138"/>
  <c r="X138"/>
  <c r="Z138"/>
  <c r="AB138"/>
  <c r="S138"/>
  <c r="U138"/>
  <c r="W138"/>
  <c r="Y138"/>
  <c r="AA138"/>
  <c r="R140"/>
  <c r="T140"/>
  <c r="V140"/>
  <c r="X140"/>
  <c r="Z140"/>
  <c r="AB140"/>
  <c r="Q140"/>
  <c r="S140"/>
  <c r="U140"/>
  <c r="W140"/>
  <c r="Y140"/>
  <c r="AA140"/>
  <c r="Q78"/>
  <c r="Q79"/>
  <c r="R83"/>
  <c r="T83"/>
  <c r="V83"/>
  <c r="X83"/>
  <c r="Z83"/>
  <c r="AB83"/>
  <c r="Q83"/>
  <c r="S83"/>
  <c r="U83"/>
  <c r="W83"/>
  <c r="Y83"/>
  <c r="AA83"/>
  <c r="Q85"/>
  <c r="Q87"/>
  <c r="Q89"/>
  <c r="Q62"/>
  <c r="E55"/>
  <c r="Q55"/>
  <c r="Q58" s="1"/>
  <c r="M11" i="19" s="1"/>
  <c r="K16" i="22" l="1"/>
  <c r="H16" i="19"/>
  <c r="H16" i="22"/>
  <c r="E16" i="19"/>
  <c r="J16" i="22"/>
  <c r="G16" i="19"/>
  <c r="G16" i="22"/>
  <c r="D16" i="19"/>
  <c r="L16" i="22"/>
  <c r="I16" i="19"/>
  <c r="U202" i="16"/>
  <c r="Q17" i="19" s="1"/>
  <c r="K13" i="22"/>
  <c r="H10" i="19"/>
  <c r="J13" i="22"/>
  <c r="G10" i="19"/>
  <c r="L13" i="22"/>
  <c r="I10" i="19"/>
  <c r="K10" i="22"/>
  <c r="H12" i="19"/>
  <c r="K12" i="22"/>
  <c r="H14" i="19"/>
  <c r="L12" i="22"/>
  <c r="I14" i="19"/>
  <c r="L17" i="22"/>
  <c r="I17" i="19"/>
  <c r="K17" i="22"/>
  <c r="H17" i="19"/>
  <c r="G15" i="22"/>
  <c r="D15" i="19"/>
  <c r="J12" i="22"/>
  <c r="G14" i="19"/>
  <c r="H10" i="22"/>
  <c r="E12" i="19"/>
  <c r="L15" i="22"/>
  <c r="I15" i="19"/>
  <c r="I14" i="22"/>
  <c r="F11" i="19"/>
  <c r="J15" i="22"/>
  <c r="G15" i="19"/>
  <c r="H12" i="22"/>
  <c r="E14" i="19"/>
  <c r="K14" i="22"/>
  <c r="H11" i="19"/>
  <c r="H13" i="22"/>
  <c r="E10" i="19"/>
  <c r="K15" i="22"/>
  <c r="H15" i="19"/>
  <c r="I15" i="22"/>
  <c r="F15" i="19"/>
  <c r="L10" i="22"/>
  <c r="I12" i="19"/>
  <c r="H17" i="22"/>
  <c r="E17" i="19"/>
  <c r="H15" i="22"/>
  <c r="E15" i="19"/>
  <c r="G12" i="22"/>
  <c r="D14" i="19"/>
  <c r="J17" i="22"/>
  <c r="G17" i="19"/>
  <c r="J10" i="22"/>
  <c r="G12" i="19"/>
  <c r="G17" i="22"/>
  <c r="D17" i="19"/>
  <c r="H14" i="22"/>
  <c r="E11" i="19"/>
  <c r="J14" i="22"/>
  <c r="G11" i="19"/>
  <c r="N133" i="16"/>
  <c r="N144"/>
  <c r="K11" i="22"/>
  <c r="H13" i="19"/>
  <c r="G11" i="22"/>
  <c r="D13" i="19"/>
  <c r="J11" i="22"/>
  <c r="G13" i="19"/>
  <c r="H11" i="22"/>
  <c r="E13" i="19"/>
  <c r="N175" i="16"/>
  <c r="N162"/>
  <c r="Z195"/>
  <c r="V16" i="19" s="1"/>
  <c r="AA202" i="16"/>
  <c r="W17" i="19" s="1"/>
  <c r="N117" i="16"/>
  <c r="E58"/>
  <c r="F49" i="22" s="1"/>
  <c r="R195" i="16"/>
  <c r="N16" i="19" s="1"/>
  <c r="Y195" i="16"/>
  <c r="U16" i="19" s="1"/>
  <c r="S202" i="16"/>
  <c r="O17" i="19" s="1"/>
  <c r="N158" i="16"/>
  <c r="N188"/>
  <c r="N113"/>
  <c r="N190"/>
  <c r="V195"/>
  <c r="R16" i="19" s="1"/>
  <c r="N131" i="16"/>
  <c r="N156"/>
  <c r="N169"/>
  <c r="N135"/>
  <c r="N119"/>
  <c r="N145"/>
  <c r="N170"/>
  <c r="AA214"/>
  <c r="Z46"/>
  <c r="R165"/>
  <c r="N14" i="19" s="1"/>
  <c r="V165" i="16"/>
  <c r="R14" i="19" s="1"/>
  <c r="Z165" i="16"/>
  <c r="V14" i="19" s="1"/>
  <c r="Q165" i="16"/>
  <c r="M14" i="19" s="1"/>
  <c r="R183" i="16"/>
  <c r="N15" i="19" s="1"/>
  <c r="V183" i="16"/>
  <c r="R15" i="19" s="1"/>
  <c r="Z183" i="16"/>
  <c r="V15" i="19" s="1"/>
  <c r="U183" i="16"/>
  <c r="Q15" i="19" s="1"/>
  <c r="Y183" i="16"/>
  <c r="U15" i="19" s="1"/>
  <c r="E183" i="16"/>
  <c r="F50" i="22" s="1"/>
  <c r="T202" i="16"/>
  <c r="P17" i="19" s="1"/>
  <c r="X202" i="16"/>
  <c r="T17" i="19" s="1"/>
  <c r="W202" i="16"/>
  <c r="S17" i="19" s="1"/>
  <c r="X195" i="16"/>
  <c r="T16" i="19" s="1"/>
  <c r="AA195" i="16"/>
  <c r="W16" i="19" s="1"/>
  <c r="W195" i="16"/>
  <c r="S16" i="19" s="1"/>
  <c r="S195" i="16"/>
  <c r="O16" i="19" s="1"/>
  <c r="N199" i="16"/>
  <c r="N193"/>
  <c r="AB195"/>
  <c r="X16" i="19" s="1"/>
  <c r="N155" i="16"/>
  <c r="N151"/>
  <c r="N172"/>
  <c r="N137"/>
  <c r="U195"/>
  <c r="Q16" i="19" s="1"/>
  <c r="N120" i="16"/>
  <c r="X183"/>
  <c r="T15" i="19" s="1"/>
  <c r="AB183" i="16"/>
  <c r="X15" i="19" s="1"/>
  <c r="S183" i="16"/>
  <c r="O15" i="19" s="1"/>
  <c r="W183" i="16"/>
  <c r="S15" i="19" s="1"/>
  <c r="R202" i="16"/>
  <c r="N17" i="19" s="1"/>
  <c r="Y202" i="16"/>
  <c r="U17" i="19" s="1"/>
  <c r="T195" i="16"/>
  <c r="P16" i="19" s="1"/>
  <c r="N179" i="16"/>
  <c r="N152"/>
  <c r="N173"/>
  <c r="V202"/>
  <c r="R17" i="19" s="1"/>
  <c r="Z202" i="16"/>
  <c r="V17" i="19" s="1"/>
  <c r="Q202" i="16"/>
  <c r="M17" i="19" s="1"/>
  <c r="N125" i="16"/>
  <c r="U165"/>
  <c r="Q14" i="19" s="1"/>
  <c r="Y165" i="16"/>
  <c r="U14" i="19" s="1"/>
  <c r="N154" i="16"/>
  <c r="N112"/>
  <c r="N189"/>
  <c r="N161"/>
  <c r="N77"/>
  <c r="N160"/>
  <c r="N191"/>
  <c r="N176"/>
  <c r="N115"/>
  <c r="AB202"/>
  <c r="X17" i="19" s="1"/>
  <c r="N132" i="16"/>
  <c r="N66"/>
  <c r="T165"/>
  <c r="P14" i="19" s="1"/>
  <c r="X165" i="16"/>
  <c r="T14" i="19" s="1"/>
  <c r="AB165" i="16"/>
  <c r="X14" i="19" s="1"/>
  <c r="S165" i="16"/>
  <c r="O14" i="19" s="1"/>
  <c r="W165" i="16"/>
  <c r="S14" i="19" s="1"/>
  <c r="AA165" i="16"/>
  <c r="W14" i="19" s="1"/>
  <c r="N174" i="16"/>
  <c r="N123"/>
  <c r="T183"/>
  <c r="P15" i="19" s="1"/>
  <c r="AA183" i="16"/>
  <c r="W15" i="19" s="1"/>
  <c r="N187" i="16"/>
  <c r="Q195"/>
  <c r="M16" i="19" s="1"/>
  <c r="Q96" i="16"/>
  <c r="M12" i="19" s="1"/>
  <c r="N118" i="16"/>
  <c r="N200"/>
  <c r="N157"/>
  <c r="N164"/>
  <c r="N134"/>
  <c r="N198"/>
  <c r="N186"/>
  <c r="N168"/>
  <c r="N159"/>
  <c r="N149"/>
  <c r="N140"/>
  <c r="N136"/>
  <c r="N83"/>
  <c r="F15" i="22" l="1"/>
  <c r="AB214" i="16"/>
  <c r="AA46"/>
  <c r="N202"/>
  <c r="N195"/>
  <c r="N165"/>
  <c r="AB46" l="1"/>
  <c r="N46" s="1"/>
  <c r="O214"/>
  <c r="O356"/>
  <c r="P356"/>
  <c r="O357"/>
  <c r="P357"/>
  <c r="O358"/>
  <c r="P358"/>
  <c r="O359"/>
  <c r="P359"/>
  <c r="O360"/>
  <c r="P360"/>
  <c r="O361"/>
  <c r="P361"/>
  <c r="O362"/>
  <c r="P362"/>
  <c r="P355"/>
  <c r="O355"/>
  <c r="O186" s="1"/>
  <c r="J368"/>
  <c r="J369"/>
  <c r="J367"/>
  <c r="J356"/>
  <c r="J357"/>
  <c r="J358"/>
  <c r="J359"/>
  <c r="J360"/>
  <c r="J361"/>
  <c r="J362"/>
  <c r="J355"/>
  <c r="P338"/>
  <c r="P339"/>
  <c r="P340"/>
  <c r="P341"/>
  <c r="P342"/>
  <c r="P343"/>
  <c r="P344"/>
  <c r="P345"/>
  <c r="P346"/>
  <c r="P347"/>
  <c r="P348"/>
  <c r="P349"/>
  <c r="P350"/>
  <c r="P337"/>
  <c r="O338"/>
  <c r="O169" s="1"/>
  <c r="O339"/>
  <c r="O170" s="1"/>
  <c r="O341"/>
  <c r="O172" s="1"/>
  <c r="O342"/>
  <c r="O173" s="1"/>
  <c r="O343"/>
  <c r="O174" s="1"/>
  <c r="O344"/>
  <c r="O175" s="1"/>
  <c r="O345"/>
  <c r="O176" s="1"/>
  <c r="O346"/>
  <c r="O177" s="1"/>
  <c r="O347"/>
  <c r="O178" s="1"/>
  <c r="O348"/>
  <c r="O179" s="1"/>
  <c r="O349"/>
  <c r="O180" s="1"/>
  <c r="O350"/>
  <c r="O181" s="1"/>
  <c r="O337"/>
  <c r="O168" s="1"/>
  <c r="F338"/>
  <c r="F169" s="1"/>
  <c r="F339"/>
  <c r="F170" s="1"/>
  <c r="F340"/>
  <c r="F171" s="1"/>
  <c r="F341"/>
  <c r="F172" s="1"/>
  <c r="F342"/>
  <c r="F173" s="1"/>
  <c r="F343"/>
  <c r="F174" s="1"/>
  <c r="F175"/>
  <c r="F345"/>
  <c r="F176" s="1"/>
  <c r="F346"/>
  <c r="F177" s="1"/>
  <c r="F347"/>
  <c r="F178" s="1"/>
  <c r="F348"/>
  <c r="F179" s="1"/>
  <c r="F349"/>
  <c r="F180" s="1"/>
  <c r="F350"/>
  <c r="F181" s="1"/>
  <c r="F337"/>
  <c r="F168" s="1"/>
  <c r="O319"/>
  <c r="O150" s="1"/>
  <c r="O320"/>
  <c r="O151" s="1"/>
  <c r="O321"/>
  <c r="O152" s="1"/>
  <c r="O322"/>
  <c r="O153" s="1"/>
  <c r="O323"/>
  <c r="O154" s="1"/>
  <c r="O324"/>
  <c r="O155" s="1"/>
  <c r="O325"/>
  <c r="O156" s="1"/>
  <c r="O326"/>
  <c r="O157" s="1"/>
  <c r="O327"/>
  <c r="O158" s="1"/>
  <c r="O328"/>
  <c r="O159" s="1"/>
  <c r="O329"/>
  <c r="O160" s="1"/>
  <c r="O330"/>
  <c r="O161" s="1"/>
  <c r="O331"/>
  <c r="O162" s="1"/>
  <c r="O333"/>
  <c r="O164" s="1"/>
  <c r="O318"/>
  <c r="O149" s="1"/>
  <c r="F319"/>
  <c r="F320"/>
  <c r="F321"/>
  <c r="F324"/>
  <c r="F325"/>
  <c r="F326"/>
  <c r="F327"/>
  <c r="F328"/>
  <c r="F159" s="1"/>
  <c r="F329"/>
  <c r="F330"/>
  <c r="F331"/>
  <c r="F333"/>
  <c r="AC331"/>
  <c r="AC328"/>
  <c r="AC327"/>
  <c r="AC325"/>
  <c r="AC323"/>
  <c r="AC330"/>
  <c r="AC322"/>
  <c r="AC321"/>
  <c r="AC320"/>
  <c r="AC319"/>
  <c r="AC326"/>
  <c r="AC318"/>
  <c r="J318"/>
  <c r="P319"/>
  <c r="P320"/>
  <c r="P321"/>
  <c r="P322"/>
  <c r="P323"/>
  <c r="P324"/>
  <c r="P325"/>
  <c r="P326"/>
  <c r="P327"/>
  <c r="P328"/>
  <c r="P329"/>
  <c r="P330"/>
  <c r="P331"/>
  <c r="P333"/>
  <c r="P318"/>
  <c r="P300"/>
  <c r="AC314"/>
  <c r="AC312"/>
  <c r="AC311"/>
  <c r="AC310"/>
  <c r="AC309"/>
  <c r="AC308"/>
  <c r="AC307"/>
  <c r="Q312"/>
  <c r="Q143" s="1"/>
  <c r="N143" s="1"/>
  <c r="Q311"/>
  <c r="Q142" s="1"/>
  <c r="N142" s="1"/>
  <c r="Q310"/>
  <c r="Q141" s="1"/>
  <c r="N141" s="1"/>
  <c r="Q308"/>
  <c r="Q139" s="1"/>
  <c r="N139" s="1"/>
  <c r="Q307"/>
  <c r="Q138" s="1"/>
  <c r="N138" s="1"/>
  <c r="M314"/>
  <c r="M308"/>
  <c r="M309"/>
  <c r="M310"/>
  <c r="M311"/>
  <c r="M312"/>
  <c r="M307"/>
  <c r="AC305"/>
  <c r="AC304"/>
  <c r="AC303"/>
  <c r="M304"/>
  <c r="M305"/>
  <c r="M303"/>
  <c r="AC301"/>
  <c r="M301"/>
  <c r="AB296"/>
  <c r="AB127" s="1"/>
  <c r="AB297"/>
  <c r="AB128" s="1"/>
  <c r="AB298"/>
  <c r="AB129" s="1"/>
  <c r="AB299"/>
  <c r="AB130" s="1"/>
  <c r="AB295"/>
  <c r="AB126" s="1"/>
  <c r="AC293"/>
  <c r="R293"/>
  <c r="M294"/>
  <c r="M295"/>
  <c r="M296"/>
  <c r="M127" s="1"/>
  <c r="M297"/>
  <c r="M128" s="1"/>
  <c r="M298"/>
  <c r="M299"/>
  <c r="M293"/>
  <c r="AC299"/>
  <c r="AC298"/>
  <c r="AC297"/>
  <c r="AC296"/>
  <c r="AC295"/>
  <c r="AC294"/>
  <c r="AC290"/>
  <c r="AC289"/>
  <c r="AC288"/>
  <c r="AC287"/>
  <c r="AC286"/>
  <c r="AC285"/>
  <c r="M286"/>
  <c r="M287"/>
  <c r="M288"/>
  <c r="M119" s="1"/>
  <c r="E119" s="1"/>
  <c r="M289"/>
  <c r="M290"/>
  <c r="M121" s="1"/>
  <c r="M291"/>
  <c r="M122" s="1"/>
  <c r="M285"/>
  <c r="S114"/>
  <c r="T282"/>
  <c r="T114" s="1"/>
  <c r="U282"/>
  <c r="U114" s="1"/>
  <c r="V282"/>
  <c r="V114" s="1"/>
  <c r="W282"/>
  <c r="W114" s="1"/>
  <c r="X282"/>
  <c r="X114" s="1"/>
  <c r="Y282"/>
  <c r="Y114" s="1"/>
  <c r="Z282"/>
  <c r="Z114" s="1"/>
  <c r="AA282"/>
  <c r="R282"/>
  <c r="R114" s="1"/>
  <c r="AB269"/>
  <c r="AB101" s="1"/>
  <c r="N101" s="1"/>
  <c r="AB270"/>
  <c r="AB102" s="1"/>
  <c r="N102" s="1"/>
  <c r="AB271"/>
  <c r="AB103" s="1"/>
  <c r="N103" s="1"/>
  <c r="AB272"/>
  <c r="AB104" s="1"/>
  <c r="N104" s="1"/>
  <c r="AB273"/>
  <c r="AB105" s="1"/>
  <c r="AB274"/>
  <c r="AB106" s="1"/>
  <c r="AB275"/>
  <c r="AB107" s="1"/>
  <c r="AB276"/>
  <c r="AB108" s="1"/>
  <c r="AB277"/>
  <c r="AB109" s="1"/>
  <c r="AB278"/>
  <c r="AB110" s="1"/>
  <c r="AB279"/>
  <c r="AB111" s="1"/>
  <c r="AB268"/>
  <c r="AB100" s="1"/>
  <c r="AC282"/>
  <c r="AC281"/>
  <c r="AC280"/>
  <c r="AC279"/>
  <c r="AC278"/>
  <c r="AC277"/>
  <c r="AC276"/>
  <c r="AC275"/>
  <c r="AC274"/>
  <c r="AC273"/>
  <c r="AC272"/>
  <c r="AC271"/>
  <c r="AC270"/>
  <c r="AC269"/>
  <c r="AC268"/>
  <c r="F273"/>
  <c r="E273" s="1"/>
  <c r="F275"/>
  <c r="F279"/>
  <c r="F281"/>
  <c r="R253"/>
  <c r="R254"/>
  <c r="R255"/>
  <c r="R256"/>
  <c r="R257"/>
  <c r="R258"/>
  <c r="R259"/>
  <c r="R260"/>
  <c r="R261"/>
  <c r="R262"/>
  <c r="R263"/>
  <c r="R252"/>
  <c r="P231"/>
  <c r="P232"/>
  <c r="P233"/>
  <c r="P235"/>
  <c r="P236"/>
  <c r="P237"/>
  <c r="P238"/>
  <c r="P239"/>
  <c r="P240"/>
  <c r="P241"/>
  <c r="P242"/>
  <c r="P243"/>
  <c r="P244"/>
  <c r="P246"/>
  <c r="P247"/>
  <c r="P248"/>
  <c r="P249"/>
  <c r="P250"/>
  <c r="P252"/>
  <c r="P253"/>
  <c r="P254"/>
  <c r="P255"/>
  <c r="P256"/>
  <c r="P257"/>
  <c r="P258"/>
  <c r="P259"/>
  <c r="P260"/>
  <c r="P261"/>
  <c r="P262"/>
  <c r="P263"/>
  <c r="P230"/>
  <c r="R247"/>
  <c r="R79" s="1"/>
  <c r="R248"/>
  <c r="R249"/>
  <c r="R250"/>
  <c r="R82" s="1"/>
  <c r="R246"/>
  <c r="R233"/>
  <c r="R232"/>
  <c r="R231"/>
  <c r="R230"/>
  <c r="AC233"/>
  <c r="AC230"/>
  <c r="R236"/>
  <c r="R237"/>
  <c r="R238"/>
  <c r="R239"/>
  <c r="R240"/>
  <c r="R241"/>
  <c r="R242"/>
  <c r="R243"/>
  <c r="R244"/>
  <c r="R235"/>
  <c r="P224"/>
  <c r="P223"/>
  <c r="F224"/>
  <c r="F223"/>
  <c r="Q220"/>
  <c r="R211"/>
  <c r="R212"/>
  <c r="R213"/>
  <c r="R215"/>
  <c r="R216"/>
  <c r="R217"/>
  <c r="R218"/>
  <c r="R210"/>
  <c r="R42" s="1"/>
  <c r="P211"/>
  <c r="P212"/>
  <c r="P213"/>
  <c r="P215"/>
  <c r="P216"/>
  <c r="P217"/>
  <c r="P218"/>
  <c r="P210"/>
  <c r="F212"/>
  <c r="F213"/>
  <c r="J211"/>
  <c r="J215"/>
  <c r="J210"/>
  <c r="R224"/>
  <c r="R223"/>
  <c r="AD180" l="1"/>
  <c r="AD181"/>
  <c r="AD177"/>
  <c r="AD168"/>
  <c r="AD178"/>
  <c r="AD179"/>
  <c r="AD172"/>
  <c r="AD174"/>
  <c r="AD173"/>
  <c r="AD322"/>
  <c r="N214"/>
  <c r="O46"/>
  <c r="AD169"/>
  <c r="AD170"/>
  <c r="F288"/>
  <c r="E288" s="1"/>
  <c r="P288" s="1"/>
  <c r="S223"/>
  <c r="R55"/>
  <c r="S224"/>
  <c r="R56"/>
  <c r="E212"/>
  <c r="F44"/>
  <c r="S218"/>
  <c r="S50" s="1"/>
  <c r="R50"/>
  <c r="S217"/>
  <c r="S49" s="1"/>
  <c r="R49"/>
  <c r="S215"/>
  <c r="S47" s="1"/>
  <c r="R47"/>
  <c r="S213"/>
  <c r="S45" s="1"/>
  <c r="R45"/>
  <c r="S211"/>
  <c r="S43" s="1"/>
  <c r="R43"/>
  <c r="E223"/>
  <c r="F55"/>
  <c r="S235"/>
  <c r="R67"/>
  <c r="S243"/>
  <c r="R75"/>
  <c r="S242"/>
  <c r="R74"/>
  <c r="S241"/>
  <c r="R73"/>
  <c r="S238"/>
  <c r="R70"/>
  <c r="S236"/>
  <c r="R68"/>
  <c r="S230"/>
  <c r="R62"/>
  <c r="S232"/>
  <c r="R64"/>
  <c r="S233"/>
  <c r="R65"/>
  <c r="S248"/>
  <c r="R80"/>
  <c r="S252"/>
  <c r="S84" s="1"/>
  <c r="R84"/>
  <c r="S263"/>
  <c r="R95"/>
  <c r="S261"/>
  <c r="R93"/>
  <c r="S259"/>
  <c r="R91"/>
  <c r="S257"/>
  <c r="S89" s="1"/>
  <c r="R89"/>
  <c r="S255"/>
  <c r="R87"/>
  <c r="S253"/>
  <c r="R85"/>
  <c r="E279"/>
  <c r="P279" s="1"/>
  <c r="F111"/>
  <c r="P273"/>
  <c r="F105"/>
  <c r="AB282"/>
  <c r="AB114" s="1"/>
  <c r="AA114"/>
  <c r="F285"/>
  <c r="Q285" s="1"/>
  <c r="Q116" s="1"/>
  <c r="N116" s="1"/>
  <c r="M116"/>
  <c r="F286"/>
  <c r="M117"/>
  <c r="E117" s="1"/>
  <c r="F299"/>
  <c r="F130" s="1"/>
  <c r="M130"/>
  <c r="E130" s="1"/>
  <c r="F295"/>
  <c r="Q295" s="1"/>
  <c r="Q126" s="1"/>
  <c r="N126" s="1"/>
  <c r="M126"/>
  <c r="E126" s="1"/>
  <c r="R124"/>
  <c r="R146" s="1"/>
  <c r="N13" i="19" s="1"/>
  <c r="F305" i="16"/>
  <c r="M136"/>
  <c r="E136" s="1"/>
  <c r="F312"/>
  <c r="M143"/>
  <c r="E143" s="1"/>
  <c r="F310"/>
  <c r="M141"/>
  <c r="E141" s="1"/>
  <c r="F308"/>
  <c r="M139"/>
  <c r="E139" s="1"/>
  <c r="E331"/>
  <c r="F162"/>
  <c r="AD162" s="1"/>
  <c r="E329"/>
  <c r="F160"/>
  <c r="AD160" s="1"/>
  <c r="E327"/>
  <c r="F158"/>
  <c r="AD158" s="1"/>
  <c r="E325"/>
  <c r="F156"/>
  <c r="AD156" s="1"/>
  <c r="E323"/>
  <c r="F154"/>
  <c r="AD154" s="1"/>
  <c r="E321"/>
  <c r="F152"/>
  <c r="AD152" s="1"/>
  <c r="E319"/>
  <c r="F150"/>
  <c r="AD150" s="1"/>
  <c r="E213"/>
  <c r="F45"/>
  <c r="S216"/>
  <c r="R48"/>
  <c r="S212"/>
  <c r="R44"/>
  <c r="E224"/>
  <c r="F56"/>
  <c r="S244"/>
  <c r="S76" s="1"/>
  <c r="R76"/>
  <c r="S240"/>
  <c r="S72" s="1"/>
  <c r="R72"/>
  <c r="S239"/>
  <c r="S71" s="1"/>
  <c r="R71"/>
  <c r="S237"/>
  <c r="S69" s="1"/>
  <c r="R69"/>
  <c r="S231"/>
  <c r="R63"/>
  <c r="S246"/>
  <c r="R78"/>
  <c r="S249"/>
  <c r="R81"/>
  <c r="S262"/>
  <c r="S94" s="1"/>
  <c r="R94"/>
  <c r="S260"/>
  <c r="S92" s="1"/>
  <c r="R92"/>
  <c r="S258"/>
  <c r="S90" s="1"/>
  <c r="R90"/>
  <c r="S256"/>
  <c r="S88" s="1"/>
  <c r="R88"/>
  <c r="S254"/>
  <c r="S86" s="1"/>
  <c r="R86"/>
  <c r="E281"/>
  <c r="P281" s="1"/>
  <c r="F113"/>
  <c r="E275"/>
  <c r="P275" s="1"/>
  <c r="F107"/>
  <c r="N100"/>
  <c r="F289"/>
  <c r="F120" s="1"/>
  <c r="M120"/>
  <c r="E120" s="1"/>
  <c r="F287"/>
  <c r="F118" s="1"/>
  <c r="M118"/>
  <c r="E118" s="1"/>
  <c r="F293"/>
  <c r="M124"/>
  <c r="E124" s="1"/>
  <c r="F298"/>
  <c r="Q298" s="1"/>
  <c r="Q129" s="1"/>
  <c r="N129" s="1"/>
  <c r="M129"/>
  <c r="E129" s="1"/>
  <c r="F294"/>
  <c r="M125"/>
  <c r="E125" s="1"/>
  <c r="F301"/>
  <c r="M132"/>
  <c r="E132" s="1"/>
  <c r="F303"/>
  <c r="M134"/>
  <c r="E134" s="1"/>
  <c r="F304"/>
  <c r="M135"/>
  <c r="E135" s="1"/>
  <c r="F307"/>
  <c r="M138"/>
  <c r="E138" s="1"/>
  <c r="F311"/>
  <c r="M142"/>
  <c r="E142" s="1"/>
  <c r="F309"/>
  <c r="M140"/>
  <c r="E140" s="1"/>
  <c r="F314"/>
  <c r="M145"/>
  <c r="E145" s="1"/>
  <c r="E333"/>
  <c r="F164"/>
  <c r="AD164" s="1"/>
  <c r="E330"/>
  <c r="F161"/>
  <c r="AD161" s="1"/>
  <c r="E328"/>
  <c r="AD159"/>
  <c r="E326"/>
  <c r="F157"/>
  <c r="AD157" s="1"/>
  <c r="E324"/>
  <c r="F155"/>
  <c r="AD155" s="1"/>
  <c r="E322"/>
  <c r="F153"/>
  <c r="AD153" s="1"/>
  <c r="E320"/>
  <c r="F151"/>
  <c r="AD151" s="1"/>
  <c r="N362"/>
  <c r="O193"/>
  <c r="N361"/>
  <c r="O192"/>
  <c r="N360"/>
  <c r="O191"/>
  <c r="N359"/>
  <c r="O190"/>
  <c r="N358"/>
  <c r="O189"/>
  <c r="N357"/>
  <c r="O188"/>
  <c r="N356"/>
  <c r="O187"/>
  <c r="F210"/>
  <c r="J42"/>
  <c r="F216"/>
  <c r="J48"/>
  <c r="E48" s="1"/>
  <c r="F218"/>
  <c r="J50"/>
  <c r="E50" s="1"/>
  <c r="F217"/>
  <c r="J49"/>
  <c r="E49" s="1"/>
  <c r="F215"/>
  <c r="J47"/>
  <c r="E47" s="1"/>
  <c r="F211"/>
  <c r="J43"/>
  <c r="E43" s="1"/>
  <c r="F318"/>
  <c r="J149"/>
  <c r="E149" s="1"/>
  <c r="F369"/>
  <c r="F200" s="1"/>
  <c r="J200"/>
  <c r="E200" s="1"/>
  <c r="F368"/>
  <c r="F199" s="1"/>
  <c r="J199"/>
  <c r="E199" s="1"/>
  <c r="F367"/>
  <c r="F198" s="1"/>
  <c r="J198"/>
  <c r="F362"/>
  <c r="F193" s="1"/>
  <c r="J193"/>
  <c r="E193" s="1"/>
  <c r="F360"/>
  <c r="F191" s="1"/>
  <c r="J191"/>
  <c r="E191" s="1"/>
  <c r="F358"/>
  <c r="F189" s="1"/>
  <c r="J189"/>
  <c r="E189" s="1"/>
  <c r="F356"/>
  <c r="F187" s="1"/>
  <c r="J187"/>
  <c r="F361"/>
  <c r="E361" s="1"/>
  <c r="J192"/>
  <c r="E192" s="1"/>
  <c r="F359"/>
  <c r="J190"/>
  <c r="E190" s="1"/>
  <c r="F357"/>
  <c r="F188" s="1"/>
  <c r="J188"/>
  <c r="E188" s="1"/>
  <c r="J186"/>
  <c r="E349"/>
  <c r="AD349"/>
  <c r="E338"/>
  <c r="AD338"/>
  <c r="E347"/>
  <c r="AD347"/>
  <c r="E345"/>
  <c r="E343"/>
  <c r="AD343"/>
  <c r="E341"/>
  <c r="AD341"/>
  <c r="E339"/>
  <c r="AD339"/>
  <c r="E350"/>
  <c r="AD350"/>
  <c r="E348"/>
  <c r="AD348"/>
  <c r="E346"/>
  <c r="AD346"/>
  <c r="E344"/>
  <c r="E342"/>
  <c r="AD342"/>
  <c r="E340"/>
  <c r="E337"/>
  <c r="AD337"/>
  <c r="N350"/>
  <c r="N348"/>
  <c r="N346"/>
  <c r="N344"/>
  <c r="N342"/>
  <c r="N339"/>
  <c r="N349"/>
  <c r="N347"/>
  <c r="N345"/>
  <c r="N343"/>
  <c r="N341"/>
  <c r="N338"/>
  <c r="N355"/>
  <c r="N337"/>
  <c r="AD333"/>
  <c r="N331"/>
  <c r="N329"/>
  <c r="N327"/>
  <c r="N325"/>
  <c r="N323"/>
  <c r="N321"/>
  <c r="N319"/>
  <c r="N318"/>
  <c r="N333"/>
  <c r="N330"/>
  <c r="N328"/>
  <c r="N326"/>
  <c r="N324"/>
  <c r="N322"/>
  <c r="N320"/>
  <c r="AD326"/>
  <c r="AD330"/>
  <c r="AD328"/>
  <c r="AD324"/>
  <c r="AD320"/>
  <c r="AD331"/>
  <c r="AD329"/>
  <c r="AD327"/>
  <c r="AD325"/>
  <c r="AD323"/>
  <c r="AD321"/>
  <c r="AD319"/>
  <c r="Q273"/>
  <c r="Q105" s="1"/>
  <c r="N105" s="1"/>
  <c r="Q275"/>
  <c r="Q107" s="1"/>
  <c r="N107" s="1"/>
  <c r="Q279"/>
  <c r="Q111" s="1"/>
  <c r="N111" s="1"/>
  <c r="T262"/>
  <c r="S247"/>
  <c r="S250"/>
  <c r="R220"/>
  <c r="S210"/>
  <c r="S42" s="1"/>
  <c r="J297"/>
  <c r="J296"/>
  <c r="J291"/>
  <c r="J290"/>
  <c r="J282"/>
  <c r="G38"/>
  <c r="G37"/>
  <c r="F38"/>
  <c r="F37"/>
  <c r="J280"/>
  <c r="J278"/>
  <c r="J274"/>
  <c r="J272"/>
  <c r="J271"/>
  <c r="T213" l="1"/>
  <c r="U213" s="1"/>
  <c r="T240"/>
  <c r="U240" s="1"/>
  <c r="T218"/>
  <c r="T50" s="1"/>
  <c r="E287"/>
  <c r="P287" s="1"/>
  <c r="N364"/>
  <c r="F119"/>
  <c r="T211"/>
  <c r="U211" s="1"/>
  <c r="T252"/>
  <c r="U252" s="1"/>
  <c r="Q299"/>
  <c r="Q130" s="1"/>
  <c r="N130" s="1"/>
  <c r="E226"/>
  <c r="T217"/>
  <c r="U217" s="1"/>
  <c r="T215"/>
  <c r="T47" s="1"/>
  <c r="T244"/>
  <c r="T76" s="1"/>
  <c r="T256"/>
  <c r="T88" s="1"/>
  <c r="T257"/>
  <c r="T89" s="1"/>
  <c r="E299"/>
  <c r="P299" s="1"/>
  <c r="E289"/>
  <c r="P289" s="1"/>
  <c r="AD318"/>
  <c r="AD188"/>
  <c r="AD187"/>
  <c r="AD189"/>
  <c r="AD193"/>
  <c r="E352"/>
  <c r="E369"/>
  <c r="F190"/>
  <c r="AD190" s="1"/>
  <c r="P38"/>
  <c r="N38" s="1"/>
  <c r="E38"/>
  <c r="P37"/>
  <c r="N37" s="1"/>
  <c r="E37"/>
  <c r="T239"/>
  <c r="T71" s="1"/>
  <c r="T237"/>
  <c r="T69" s="1"/>
  <c r="T258"/>
  <c r="T90" s="1"/>
  <c r="T254"/>
  <c r="T86" s="1"/>
  <c r="T260"/>
  <c r="U260" s="1"/>
  <c r="R52"/>
  <c r="N10" i="19" s="1"/>
  <c r="AD362" i="16"/>
  <c r="E367"/>
  <c r="AD358"/>
  <c r="E362"/>
  <c r="E358"/>
  <c r="E360"/>
  <c r="E368"/>
  <c r="U262"/>
  <c r="T94"/>
  <c r="E308"/>
  <c r="P308" s="1"/>
  <c r="F139"/>
  <c r="E310"/>
  <c r="P310" s="1"/>
  <c r="F141"/>
  <c r="E312"/>
  <c r="P312" s="1"/>
  <c r="F143"/>
  <c r="E305"/>
  <c r="P305" s="1"/>
  <c r="F136"/>
  <c r="S124"/>
  <c r="S146" s="1"/>
  <c r="O13" i="19" s="1"/>
  <c r="E295" i="16"/>
  <c r="P295" s="1"/>
  <c r="F126"/>
  <c r="E286"/>
  <c r="P286" s="1"/>
  <c r="F117"/>
  <c r="E285"/>
  <c r="P285" s="1"/>
  <c r="F116"/>
  <c r="T253"/>
  <c r="S85"/>
  <c r="T255"/>
  <c r="S87"/>
  <c r="T259"/>
  <c r="S91"/>
  <c r="T261"/>
  <c r="S93"/>
  <c r="T263"/>
  <c r="S95"/>
  <c r="T248"/>
  <c r="S80"/>
  <c r="T233"/>
  <c r="S65"/>
  <c r="T232"/>
  <c r="S64"/>
  <c r="T230"/>
  <c r="S62"/>
  <c r="T236"/>
  <c r="S68"/>
  <c r="T238"/>
  <c r="S70"/>
  <c r="T241"/>
  <c r="S73"/>
  <c r="T242"/>
  <c r="S74"/>
  <c r="T243"/>
  <c r="S75"/>
  <c r="T235"/>
  <c r="S67"/>
  <c r="T224"/>
  <c r="S56"/>
  <c r="T223"/>
  <c r="S55"/>
  <c r="T250"/>
  <c r="S82"/>
  <c r="T247"/>
  <c r="S79"/>
  <c r="E314"/>
  <c r="P314" s="1"/>
  <c r="F145"/>
  <c r="E309"/>
  <c r="P309" s="1"/>
  <c r="F140"/>
  <c r="E311"/>
  <c r="P311" s="1"/>
  <c r="F142"/>
  <c r="E307"/>
  <c r="P307" s="1"/>
  <c r="F138"/>
  <c r="E304"/>
  <c r="P304" s="1"/>
  <c r="F135"/>
  <c r="E303"/>
  <c r="P303" s="1"/>
  <c r="F134"/>
  <c r="E301"/>
  <c r="P301" s="1"/>
  <c r="F132"/>
  <c r="E294"/>
  <c r="P294" s="1"/>
  <c r="F125"/>
  <c r="E298"/>
  <c r="P298" s="1"/>
  <c r="F129"/>
  <c r="E293"/>
  <c r="P293" s="1"/>
  <c r="F124"/>
  <c r="T249"/>
  <c r="S81"/>
  <c r="T246"/>
  <c r="S78"/>
  <c r="T231"/>
  <c r="S63"/>
  <c r="T212"/>
  <c r="S44"/>
  <c r="T216"/>
  <c r="S48"/>
  <c r="M146"/>
  <c r="E116"/>
  <c r="R96"/>
  <c r="N12" i="19" s="1"/>
  <c r="R58" i="16"/>
  <c r="N11" i="19" s="1"/>
  <c r="E359" i="16"/>
  <c r="F297"/>
  <c r="F128" s="1"/>
  <c r="J128"/>
  <c r="E128" s="1"/>
  <c r="E318"/>
  <c r="F149"/>
  <c r="AD149" s="1"/>
  <c r="E211"/>
  <c r="F43"/>
  <c r="E215"/>
  <c r="F47"/>
  <c r="E217"/>
  <c r="F49"/>
  <c r="E218"/>
  <c r="F50"/>
  <c r="E216"/>
  <c r="F48"/>
  <c r="E210"/>
  <c r="F42"/>
  <c r="F296"/>
  <c r="Q296" s="1"/>
  <c r="Q127" s="1"/>
  <c r="N127" s="1"/>
  <c r="J127"/>
  <c r="E127" s="1"/>
  <c r="J52"/>
  <c r="E42"/>
  <c r="E52" s="1"/>
  <c r="F48" i="22" s="1"/>
  <c r="E357" i="16"/>
  <c r="AD356"/>
  <c r="AD357"/>
  <c r="AD359"/>
  <c r="E356"/>
  <c r="E198"/>
  <c r="E202" s="1"/>
  <c r="F52" i="22" s="1"/>
  <c r="J202" i="16"/>
  <c r="F17" i="19" s="1"/>
  <c r="Y17" s="1"/>
  <c r="E187" i="16"/>
  <c r="E195" s="1"/>
  <c r="F51" i="22" s="1"/>
  <c r="J195" i="16"/>
  <c r="F16" i="19" s="1"/>
  <c r="Y16" s="1"/>
  <c r="AD361" i="16"/>
  <c r="F192"/>
  <c r="AD192" s="1"/>
  <c r="F274"/>
  <c r="F106" s="1"/>
  <c r="J106"/>
  <c r="E106" s="1"/>
  <c r="F280"/>
  <c r="F112" s="1"/>
  <c r="J112"/>
  <c r="E112" s="1"/>
  <c r="F290"/>
  <c r="F121" s="1"/>
  <c r="J121"/>
  <c r="E121" s="1"/>
  <c r="F271"/>
  <c r="F103" s="1"/>
  <c r="J103"/>
  <c r="E103" s="1"/>
  <c r="F272"/>
  <c r="F104" s="1"/>
  <c r="J104"/>
  <c r="E104" s="1"/>
  <c r="F278"/>
  <c r="F110" s="1"/>
  <c r="J110"/>
  <c r="E110" s="1"/>
  <c r="F282"/>
  <c r="F114" s="1"/>
  <c r="J114"/>
  <c r="E114" s="1"/>
  <c r="F291"/>
  <c r="Q291" s="1"/>
  <c r="Q122" s="1"/>
  <c r="N122" s="1"/>
  <c r="J122"/>
  <c r="E122" s="1"/>
  <c r="N334"/>
  <c r="T210"/>
  <c r="T42" s="1"/>
  <c r="S220"/>
  <c r="J269"/>
  <c r="J270"/>
  <c r="J268"/>
  <c r="J277"/>
  <c r="J276"/>
  <c r="J253"/>
  <c r="J254"/>
  <c r="J255"/>
  <c r="J256"/>
  <c r="J257"/>
  <c r="J258"/>
  <c r="J259"/>
  <c r="J260"/>
  <c r="J261"/>
  <c r="J262"/>
  <c r="J263"/>
  <c r="J252"/>
  <c r="J247"/>
  <c r="J248"/>
  <c r="J249"/>
  <c r="J250"/>
  <c r="J246"/>
  <c r="J237"/>
  <c r="J238"/>
  <c r="J239"/>
  <c r="J240"/>
  <c r="J241"/>
  <c r="J242"/>
  <c r="J243"/>
  <c r="J244"/>
  <c r="J235"/>
  <c r="J236"/>
  <c r="J232"/>
  <c r="J230"/>
  <c r="J231"/>
  <c r="K36"/>
  <c r="L36"/>
  <c r="M36"/>
  <c r="P36"/>
  <c r="C10" i="22"/>
  <c r="D10"/>
  <c r="E10"/>
  <c r="M10"/>
  <c r="B11"/>
  <c r="C11"/>
  <c r="D11"/>
  <c r="E11"/>
  <c r="M11"/>
  <c r="B12"/>
  <c r="C12"/>
  <c r="D12"/>
  <c r="E12"/>
  <c r="M12"/>
  <c r="B13"/>
  <c r="C13"/>
  <c r="D13"/>
  <c r="E13"/>
  <c r="M13"/>
  <c r="B14"/>
  <c r="C14"/>
  <c r="D14"/>
  <c r="E14"/>
  <c r="M14"/>
  <c r="B18"/>
  <c r="C18"/>
  <c r="D18"/>
  <c r="E18"/>
  <c r="M18"/>
  <c r="B19"/>
  <c r="C19"/>
  <c r="D19"/>
  <c r="E19"/>
  <c r="M19"/>
  <c r="E45" i="17"/>
  <c r="D45"/>
  <c r="T45" i="16" l="1"/>
  <c r="U218"/>
  <c r="T84"/>
  <c r="S58"/>
  <c r="O11" i="19" s="1"/>
  <c r="U215" i="16"/>
  <c r="V215" s="1"/>
  <c r="N19" i="19"/>
  <c r="U257" i="16"/>
  <c r="V257" s="1"/>
  <c r="T72"/>
  <c r="I13" i="22"/>
  <c r="F10" i="19"/>
  <c r="L11" i="22"/>
  <c r="I13" i="19"/>
  <c r="K204" i="16"/>
  <c r="K39"/>
  <c r="G9" i="19" s="1"/>
  <c r="G19" s="1"/>
  <c r="L204" i="16"/>
  <c r="L39"/>
  <c r="H9" i="19" s="1"/>
  <c r="H19" s="1"/>
  <c r="M204" i="16"/>
  <c r="M39"/>
  <c r="I9" i="19" s="1"/>
  <c r="N36" i="16"/>
  <c r="P204"/>
  <c r="T43"/>
  <c r="G19" i="22"/>
  <c r="I19"/>
  <c r="J38" i="16" s="1"/>
  <c r="K19" i="22"/>
  <c r="H19"/>
  <c r="J19"/>
  <c r="L19"/>
  <c r="G18"/>
  <c r="I18"/>
  <c r="J37" i="16" s="1"/>
  <c r="K18" i="22"/>
  <c r="H18"/>
  <c r="J18"/>
  <c r="L18"/>
  <c r="T92" i="16"/>
  <c r="U239"/>
  <c r="V239" s="1"/>
  <c r="T49"/>
  <c r="I17" i="22"/>
  <c r="I16"/>
  <c r="F16" s="1"/>
  <c r="E297" i="16"/>
  <c r="P297" s="1"/>
  <c r="U256"/>
  <c r="U88" s="1"/>
  <c r="U244"/>
  <c r="V244" s="1"/>
  <c r="E220"/>
  <c r="U254"/>
  <c r="U86" s="1"/>
  <c r="U258"/>
  <c r="V258" s="1"/>
  <c r="U237"/>
  <c r="U69" s="1"/>
  <c r="E11"/>
  <c r="D22" i="15" s="1"/>
  <c r="R204" i="16"/>
  <c r="E18"/>
  <c r="Z16" i="19" s="1"/>
  <c r="Q297" i="16"/>
  <c r="Q128" s="1"/>
  <c r="N128" s="1"/>
  <c r="Q278"/>
  <c r="Q110" s="1"/>
  <c r="N110" s="1"/>
  <c r="E371"/>
  <c r="T55"/>
  <c r="U223"/>
  <c r="U224"/>
  <c r="T56"/>
  <c r="T67"/>
  <c r="U235"/>
  <c r="T75"/>
  <c r="U243"/>
  <c r="T74"/>
  <c r="U242"/>
  <c r="T73"/>
  <c r="U241"/>
  <c r="T70"/>
  <c r="U238"/>
  <c r="T68"/>
  <c r="U236"/>
  <c r="U230"/>
  <c r="T62"/>
  <c r="U232"/>
  <c r="T64"/>
  <c r="U233"/>
  <c r="T65"/>
  <c r="U248"/>
  <c r="T80"/>
  <c r="T95"/>
  <c r="U263"/>
  <c r="T93"/>
  <c r="U261"/>
  <c r="T91"/>
  <c r="U259"/>
  <c r="T87"/>
  <c r="U255"/>
  <c r="T85"/>
  <c r="U253"/>
  <c r="U293"/>
  <c r="T124"/>
  <c r="V262"/>
  <c r="U94"/>
  <c r="V240"/>
  <c r="U72"/>
  <c r="V217"/>
  <c r="U49"/>
  <c r="S52"/>
  <c r="O10" i="19" s="1"/>
  <c r="U216" i="16"/>
  <c r="T48"/>
  <c r="U212"/>
  <c r="T44"/>
  <c r="U231"/>
  <c r="T63"/>
  <c r="T78"/>
  <c r="U246"/>
  <c r="U249"/>
  <c r="T81"/>
  <c r="V260"/>
  <c r="U92"/>
  <c r="V252"/>
  <c r="U84"/>
  <c r="U247"/>
  <c r="T79"/>
  <c r="U250"/>
  <c r="T82"/>
  <c r="V218"/>
  <c r="U50"/>
  <c r="V211"/>
  <c r="U43"/>
  <c r="V213"/>
  <c r="U45"/>
  <c r="S96"/>
  <c r="O12" i="19" s="1"/>
  <c r="E278" i="16"/>
  <c r="P278" s="1"/>
  <c r="E364"/>
  <c r="F231"/>
  <c r="F63" s="1"/>
  <c r="J63"/>
  <c r="E63" s="1"/>
  <c r="F232"/>
  <c r="E232" s="1"/>
  <c r="J64"/>
  <c r="E64" s="1"/>
  <c r="F233"/>
  <c r="F65" s="1"/>
  <c r="J65"/>
  <c r="E65" s="1"/>
  <c r="F235"/>
  <c r="F67" s="1"/>
  <c r="J67"/>
  <c r="E67" s="1"/>
  <c r="F243"/>
  <c r="J75"/>
  <c r="E75" s="1"/>
  <c r="F242"/>
  <c r="J74"/>
  <c r="E74" s="1"/>
  <c r="F241"/>
  <c r="J73"/>
  <c r="E73" s="1"/>
  <c r="F238"/>
  <c r="J70"/>
  <c r="E70" s="1"/>
  <c r="F246"/>
  <c r="J78"/>
  <c r="E78" s="1"/>
  <c r="F249"/>
  <c r="J81"/>
  <c r="E81" s="1"/>
  <c r="F247"/>
  <c r="J79"/>
  <c r="E79" s="1"/>
  <c r="F252"/>
  <c r="J84"/>
  <c r="E84" s="1"/>
  <c r="F263"/>
  <c r="J95"/>
  <c r="E95" s="1"/>
  <c r="F261"/>
  <c r="J93"/>
  <c r="E93" s="1"/>
  <c r="F259"/>
  <c r="J91"/>
  <c r="E91" s="1"/>
  <c r="F257"/>
  <c r="J89"/>
  <c r="E89" s="1"/>
  <c r="F255"/>
  <c r="J87"/>
  <c r="E87" s="1"/>
  <c r="F253"/>
  <c r="J85"/>
  <c r="E85" s="1"/>
  <c r="E296"/>
  <c r="P296" s="1"/>
  <c r="F127"/>
  <c r="F230"/>
  <c r="E230" s="1"/>
  <c r="J62"/>
  <c r="F236"/>
  <c r="J68"/>
  <c r="E68" s="1"/>
  <c r="F244"/>
  <c r="J76"/>
  <c r="E76" s="1"/>
  <c r="F240"/>
  <c r="J72"/>
  <c r="E72" s="1"/>
  <c r="F239"/>
  <c r="J71"/>
  <c r="E71" s="1"/>
  <c r="F237"/>
  <c r="J69"/>
  <c r="E69" s="1"/>
  <c r="F250"/>
  <c r="J82"/>
  <c r="E82" s="1"/>
  <c r="F248"/>
  <c r="J80"/>
  <c r="E80" s="1"/>
  <c r="F262"/>
  <c r="J94"/>
  <c r="E94" s="1"/>
  <c r="F260"/>
  <c r="J92"/>
  <c r="E92" s="1"/>
  <c r="F258"/>
  <c r="J90"/>
  <c r="E90" s="1"/>
  <c r="F256"/>
  <c r="J88"/>
  <c r="E88" s="1"/>
  <c r="F254"/>
  <c r="J86"/>
  <c r="E86" s="1"/>
  <c r="E291"/>
  <c r="P291" s="1"/>
  <c r="E165"/>
  <c r="F47" i="22" s="1"/>
  <c r="J165" i="16"/>
  <c r="E271"/>
  <c r="P271" s="1"/>
  <c r="E274"/>
  <c r="P274" s="1"/>
  <c r="E290"/>
  <c r="P290" s="1"/>
  <c r="Q274"/>
  <c r="Q106" s="1"/>
  <c r="N106" s="1"/>
  <c r="E272"/>
  <c r="P272" s="1"/>
  <c r="E280"/>
  <c r="P280" s="1"/>
  <c r="E282"/>
  <c r="P282" s="1"/>
  <c r="Q290"/>
  <c r="Q121" s="1"/>
  <c r="N121" s="1"/>
  <c r="Q282"/>
  <c r="Q114" s="1"/>
  <c r="N114" s="1"/>
  <c r="F276"/>
  <c r="F108" s="1"/>
  <c r="J108"/>
  <c r="E108" s="1"/>
  <c r="F269"/>
  <c r="J101"/>
  <c r="E101" s="1"/>
  <c r="AD291"/>
  <c r="F122"/>
  <c r="AD122" s="1"/>
  <c r="F277"/>
  <c r="F109" s="1"/>
  <c r="J109"/>
  <c r="E109" s="1"/>
  <c r="F270"/>
  <c r="F102" s="1"/>
  <c r="J102"/>
  <c r="E102" s="1"/>
  <c r="F268"/>
  <c r="F100" s="1"/>
  <c r="J100"/>
  <c r="F14" i="22"/>
  <c r="T220" i="16"/>
  <c r="U210"/>
  <c r="U42" s="1"/>
  <c r="D58" i="17"/>
  <c r="E58"/>
  <c r="D59"/>
  <c r="E59"/>
  <c r="F59"/>
  <c r="D60"/>
  <c r="E60"/>
  <c r="F60"/>
  <c r="D61"/>
  <c r="E61"/>
  <c r="F61"/>
  <c r="D62"/>
  <c r="E62"/>
  <c r="F62"/>
  <c r="E57"/>
  <c r="D57"/>
  <c r="E51"/>
  <c r="D51"/>
  <c r="F50"/>
  <c r="E50"/>
  <c r="D50"/>
  <c r="E49"/>
  <c r="D49"/>
  <c r="E48"/>
  <c r="D48"/>
  <c r="D46"/>
  <c r="E46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F58" s="1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69"/>
  <c r="E38"/>
  <c r="D38"/>
  <c r="S702"/>
  <c r="S703"/>
  <c r="S704"/>
  <c r="S705"/>
  <c r="S706"/>
  <c r="S707"/>
  <c r="S708"/>
  <c r="S709"/>
  <c r="S710"/>
  <c r="S711"/>
  <c r="S712"/>
  <c r="S713"/>
  <c r="S714"/>
  <c r="S715"/>
  <c r="S716"/>
  <c r="S717"/>
  <c r="S718"/>
  <c r="S719"/>
  <c r="S720"/>
  <c r="S721"/>
  <c r="S722"/>
  <c r="S723"/>
  <c r="S724"/>
  <c r="S725"/>
  <c r="S726"/>
  <c r="S727"/>
  <c r="S728"/>
  <c r="S729"/>
  <c r="S730"/>
  <c r="S731"/>
  <c r="S732"/>
  <c r="S733"/>
  <c r="S734"/>
  <c r="S735"/>
  <c r="S736"/>
  <c r="S737"/>
  <c r="S738"/>
  <c r="S739"/>
  <c r="S740"/>
  <c r="S741"/>
  <c r="S742"/>
  <c r="S743"/>
  <c r="S744"/>
  <c r="S745"/>
  <c r="S746"/>
  <c r="S747"/>
  <c r="S748"/>
  <c r="S749"/>
  <c r="S750"/>
  <c r="S751"/>
  <c r="S752"/>
  <c r="S753"/>
  <c r="S754"/>
  <c r="S755"/>
  <c r="S756"/>
  <c r="S757"/>
  <c r="S758"/>
  <c r="S759"/>
  <c r="S760"/>
  <c r="S761"/>
  <c r="S762"/>
  <c r="S763"/>
  <c r="S764"/>
  <c r="S765"/>
  <c r="S766"/>
  <c r="S767"/>
  <c r="S768"/>
  <c r="S769"/>
  <c r="S770"/>
  <c r="S771"/>
  <c r="S772"/>
  <c r="S773"/>
  <c r="S774"/>
  <c r="S775"/>
  <c r="S776"/>
  <c r="S777"/>
  <c r="S778"/>
  <c r="S779"/>
  <c r="S780"/>
  <c r="S781"/>
  <c r="S782"/>
  <c r="S783"/>
  <c r="S784"/>
  <c r="S785"/>
  <c r="S786"/>
  <c r="S787"/>
  <c r="S788"/>
  <c r="S789"/>
  <c r="S790"/>
  <c r="S791"/>
  <c r="S792"/>
  <c r="S793"/>
  <c r="S794"/>
  <c r="S795"/>
  <c r="S796"/>
  <c r="S797"/>
  <c r="S798"/>
  <c r="S799"/>
  <c r="S800"/>
  <c r="S801"/>
  <c r="S802"/>
  <c r="S803"/>
  <c r="S804"/>
  <c r="S805"/>
  <c r="S806"/>
  <c r="S515"/>
  <c r="S516"/>
  <c r="S517"/>
  <c r="S518"/>
  <c r="S519"/>
  <c r="S520"/>
  <c r="S521"/>
  <c r="S522"/>
  <c r="S523"/>
  <c r="S524"/>
  <c r="S525"/>
  <c r="S526"/>
  <c r="S527"/>
  <c r="S528"/>
  <c r="S529"/>
  <c r="S530"/>
  <c r="S531"/>
  <c r="S532"/>
  <c r="S533"/>
  <c r="S534"/>
  <c r="S535"/>
  <c r="S536"/>
  <c r="S537"/>
  <c r="S538"/>
  <c r="S539"/>
  <c r="S540"/>
  <c r="S541"/>
  <c r="S542"/>
  <c r="S543"/>
  <c r="S544"/>
  <c r="S545"/>
  <c r="S546"/>
  <c r="S547"/>
  <c r="S548"/>
  <c r="S549"/>
  <c r="S550"/>
  <c r="S551"/>
  <c r="S552"/>
  <c r="S553"/>
  <c r="S554"/>
  <c r="S555"/>
  <c r="S556"/>
  <c r="S557"/>
  <c r="S558"/>
  <c r="S559"/>
  <c r="S560"/>
  <c r="S561"/>
  <c r="S562"/>
  <c r="S563"/>
  <c r="S564"/>
  <c r="S565"/>
  <c r="S566"/>
  <c r="S567"/>
  <c r="S568"/>
  <c r="S569"/>
  <c r="S570"/>
  <c r="S571"/>
  <c r="S572"/>
  <c r="S573"/>
  <c r="S574"/>
  <c r="S575"/>
  <c r="S576"/>
  <c r="S577"/>
  <c r="S578"/>
  <c r="S579"/>
  <c r="S580"/>
  <c r="S581"/>
  <c r="S582"/>
  <c r="S583"/>
  <c r="S584"/>
  <c r="S585"/>
  <c r="S586"/>
  <c r="S587"/>
  <c r="S588"/>
  <c r="S589"/>
  <c r="S590"/>
  <c r="S591"/>
  <c r="S592"/>
  <c r="S593"/>
  <c r="S594"/>
  <c r="S595"/>
  <c r="S596"/>
  <c r="S597"/>
  <c r="S598"/>
  <c r="S599"/>
  <c r="S600"/>
  <c r="S601"/>
  <c r="S602"/>
  <c r="S603"/>
  <c r="S604"/>
  <c r="S605"/>
  <c r="S606"/>
  <c r="S607"/>
  <c r="S608"/>
  <c r="S609"/>
  <c r="S610"/>
  <c r="S611"/>
  <c r="S612"/>
  <c r="S613"/>
  <c r="S614"/>
  <c r="S615"/>
  <c r="S616"/>
  <c r="S617"/>
  <c r="S618"/>
  <c r="S619"/>
  <c r="S620"/>
  <c r="S621"/>
  <c r="S622"/>
  <c r="S623"/>
  <c r="S624"/>
  <c r="S625"/>
  <c r="S626"/>
  <c r="S627"/>
  <c r="S628"/>
  <c r="S629"/>
  <c r="S630"/>
  <c r="S631"/>
  <c r="S632"/>
  <c r="S633"/>
  <c r="S634"/>
  <c r="S635"/>
  <c r="S636"/>
  <c r="S637"/>
  <c r="S638"/>
  <c r="S639"/>
  <c r="S640"/>
  <c r="S641"/>
  <c r="S642"/>
  <c r="S643"/>
  <c r="S644"/>
  <c r="S645"/>
  <c r="S646"/>
  <c r="S647"/>
  <c r="S648"/>
  <c r="S649"/>
  <c r="S650"/>
  <c r="S651"/>
  <c r="S652"/>
  <c r="S653"/>
  <c r="S654"/>
  <c r="S655"/>
  <c r="S656"/>
  <c r="S657"/>
  <c r="S658"/>
  <c r="S659"/>
  <c r="S660"/>
  <c r="S661"/>
  <c r="S662"/>
  <c r="S663"/>
  <c r="S664"/>
  <c r="S665"/>
  <c r="S666"/>
  <c r="S667"/>
  <c r="S668"/>
  <c r="S669"/>
  <c r="S670"/>
  <c r="S671"/>
  <c r="S672"/>
  <c r="S673"/>
  <c r="S674"/>
  <c r="S675"/>
  <c r="S676"/>
  <c r="S677"/>
  <c r="S678"/>
  <c r="S679"/>
  <c r="S680"/>
  <c r="S681"/>
  <c r="S682"/>
  <c r="S683"/>
  <c r="S684"/>
  <c r="S685"/>
  <c r="S686"/>
  <c r="S687"/>
  <c r="S688"/>
  <c r="S689"/>
  <c r="S690"/>
  <c r="S691"/>
  <c r="S692"/>
  <c r="S693"/>
  <c r="S694"/>
  <c r="S695"/>
  <c r="S696"/>
  <c r="S697"/>
  <c r="S698"/>
  <c r="S699"/>
  <c r="S700"/>
  <c r="S701"/>
  <c r="S376"/>
  <c r="S377"/>
  <c r="S378"/>
  <c r="S379"/>
  <c r="S380"/>
  <c r="S381"/>
  <c r="S382"/>
  <c r="S383"/>
  <c r="S384"/>
  <c r="S385"/>
  <c r="S386"/>
  <c r="S387"/>
  <c r="S388"/>
  <c r="S389"/>
  <c r="S390"/>
  <c r="S391"/>
  <c r="S392"/>
  <c r="S393"/>
  <c r="S394"/>
  <c r="S395"/>
  <c r="S396"/>
  <c r="S397"/>
  <c r="S398"/>
  <c r="S399"/>
  <c r="S400"/>
  <c r="S401"/>
  <c r="S402"/>
  <c r="S403"/>
  <c r="S404"/>
  <c r="S405"/>
  <c r="S406"/>
  <c r="S407"/>
  <c r="S408"/>
  <c r="S409"/>
  <c r="S410"/>
  <c r="S411"/>
  <c r="S412"/>
  <c r="S413"/>
  <c r="S414"/>
  <c r="S415"/>
  <c r="S416"/>
  <c r="S417"/>
  <c r="S418"/>
  <c r="S419"/>
  <c r="S420"/>
  <c r="S421"/>
  <c r="S422"/>
  <c r="S423"/>
  <c r="S424"/>
  <c r="S425"/>
  <c r="S426"/>
  <c r="S427"/>
  <c r="S428"/>
  <c r="S429"/>
  <c r="S430"/>
  <c r="S431"/>
  <c r="S432"/>
  <c r="S433"/>
  <c r="S434"/>
  <c r="S435"/>
  <c r="S436"/>
  <c r="S437"/>
  <c r="S438"/>
  <c r="S439"/>
  <c r="S440"/>
  <c r="S441"/>
  <c r="S442"/>
  <c r="S443"/>
  <c r="S444"/>
  <c r="S445"/>
  <c r="S446"/>
  <c r="S447"/>
  <c r="S448"/>
  <c r="S449"/>
  <c r="S450"/>
  <c r="S451"/>
  <c r="S452"/>
  <c r="S453"/>
  <c r="S454"/>
  <c r="S455"/>
  <c r="S456"/>
  <c r="S457"/>
  <c r="S458"/>
  <c r="S459"/>
  <c r="S460"/>
  <c r="S461"/>
  <c r="S462"/>
  <c r="S463"/>
  <c r="S464"/>
  <c r="S465"/>
  <c r="S466"/>
  <c r="S467"/>
  <c r="S468"/>
  <c r="S469"/>
  <c r="S470"/>
  <c r="S471"/>
  <c r="S472"/>
  <c r="S473"/>
  <c r="S474"/>
  <c r="S475"/>
  <c r="S476"/>
  <c r="S477"/>
  <c r="S478"/>
  <c r="S479"/>
  <c r="S480"/>
  <c r="S481"/>
  <c r="S482"/>
  <c r="S483"/>
  <c r="S484"/>
  <c r="S485"/>
  <c r="S486"/>
  <c r="S487"/>
  <c r="S488"/>
  <c r="S489"/>
  <c r="S490"/>
  <c r="S491"/>
  <c r="S492"/>
  <c r="S493"/>
  <c r="S494"/>
  <c r="S495"/>
  <c r="S496"/>
  <c r="S497"/>
  <c r="S498"/>
  <c r="S499"/>
  <c r="S500"/>
  <c r="S501"/>
  <c r="S502"/>
  <c r="S503"/>
  <c r="S504"/>
  <c r="S505"/>
  <c r="S506"/>
  <c r="S507"/>
  <c r="S508"/>
  <c r="S509"/>
  <c r="S510"/>
  <c r="S511"/>
  <c r="S512"/>
  <c r="S513"/>
  <c r="S514"/>
  <c r="D34"/>
  <c r="E36"/>
  <c r="E34"/>
  <c r="D36"/>
  <c r="D21"/>
  <c r="M7" i="22"/>
  <c r="E7"/>
  <c r="D7"/>
  <c r="B7"/>
  <c r="G42"/>
  <c r="C42" s="1"/>
  <c r="F42" s="1"/>
  <c r="E57"/>
  <c r="E22" s="1"/>
  <c r="E43"/>
  <c r="E8" s="1"/>
  <c r="M22"/>
  <c r="B9"/>
  <c r="C36" i="16" s="1"/>
  <c r="C10" s="1"/>
  <c r="B21" i="15" s="1"/>
  <c r="D9" i="22"/>
  <c r="E9"/>
  <c r="M9"/>
  <c r="C9"/>
  <c r="F36" i="16" s="1"/>
  <c r="E36" s="1"/>
  <c r="K67" i="22"/>
  <c r="J67"/>
  <c r="G67"/>
  <c r="L67"/>
  <c r="I67"/>
  <c r="H67"/>
  <c r="E64"/>
  <c r="E29" s="1"/>
  <c r="E61"/>
  <c r="C57"/>
  <c r="C22" s="1"/>
  <c r="B22"/>
  <c r="D22"/>
  <c r="B36"/>
  <c r="B20"/>
  <c r="D20"/>
  <c r="E20"/>
  <c r="M20"/>
  <c r="B21"/>
  <c r="D21"/>
  <c r="E21"/>
  <c r="M21"/>
  <c r="B23"/>
  <c r="D23"/>
  <c r="E23"/>
  <c r="M23"/>
  <c r="B24"/>
  <c r="D24"/>
  <c r="E24"/>
  <c r="M24"/>
  <c r="B25"/>
  <c r="D25"/>
  <c r="E25"/>
  <c r="M25"/>
  <c r="B26"/>
  <c r="D26"/>
  <c r="E26"/>
  <c r="M26"/>
  <c r="B27"/>
  <c r="D27"/>
  <c r="E27"/>
  <c r="M27"/>
  <c r="B28"/>
  <c r="D28"/>
  <c r="E28"/>
  <c r="M28"/>
  <c r="B29"/>
  <c r="D29"/>
  <c r="M29"/>
  <c r="B30"/>
  <c r="D30"/>
  <c r="E30"/>
  <c r="M30"/>
  <c r="B31"/>
  <c r="D31"/>
  <c r="E31"/>
  <c r="M31"/>
  <c r="B32"/>
  <c r="D32"/>
  <c r="E32"/>
  <c r="M32"/>
  <c r="B33"/>
  <c r="D33"/>
  <c r="E33"/>
  <c r="M33"/>
  <c r="B34"/>
  <c r="D34"/>
  <c r="E34"/>
  <c r="M34"/>
  <c r="D8"/>
  <c r="H6"/>
  <c r="I6"/>
  <c r="J6"/>
  <c r="K6"/>
  <c r="L6"/>
  <c r="G6"/>
  <c r="D6"/>
  <c r="E6"/>
  <c r="F6"/>
  <c r="M6"/>
  <c r="C6"/>
  <c r="B6"/>
  <c r="C55"/>
  <c r="C20" s="1"/>
  <c r="C56"/>
  <c r="C21" s="1"/>
  <c r="C58"/>
  <c r="C23" s="1"/>
  <c r="C59"/>
  <c r="C24" s="1"/>
  <c r="C60"/>
  <c r="C25" s="1"/>
  <c r="C61"/>
  <c r="C26" s="1"/>
  <c r="C62"/>
  <c r="C27" s="1"/>
  <c r="C63"/>
  <c r="C28" s="1"/>
  <c r="C64"/>
  <c r="C29" s="1"/>
  <c r="C65"/>
  <c r="C30" s="1"/>
  <c r="C66"/>
  <c r="C31" s="1"/>
  <c r="C69"/>
  <c r="C34" s="1"/>
  <c r="C43"/>
  <c r="F58"/>
  <c r="O201" i="12"/>
  <c r="P201" s="1"/>
  <c r="R201" s="1"/>
  <c r="S201" s="1"/>
  <c r="T201" s="1"/>
  <c r="U201" s="1"/>
  <c r="V201" s="1"/>
  <c r="W201" s="1"/>
  <c r="L201"/>
  <c r="M201" s="1"/>
  <c r="C67" i="22" l="1"/>
  <c r="C32" s="1"/>
  <c r="F62"/>
  <c r="U89" i="16"/>
  <c r="F22" i="15"/>
  <c r="F75" s="1"/>
  <c r="H22"/>
  <c r="E22"/>
  <c r="G22"/>
  <c r="U47" i="16"/>
  <c r="F69" i="22"/>
  <c r="O19" i="19"/>
  <c r="F66" i="22"/>
  <c r="V256" i="16"/>
  <c r="W256" s="1"/>
  <c r="F67" i="22"/>
  <c r="F65"/>
  <c r="D53" i="17"/>
  <c r="U71" i="16"/>
  <c r="I12" i="22"/>
  <c r="F12" s="1"/>
  <c r="F14" i="19"/>
  <c r="Y14" s="1"/>
  <c r="I19"/>
  <c r="F17" i="22"/>
  <c r="G75" i="15"/>
  <c r="U76" i="16"/>
  <c r="U90"/>
  <c r="T52"/>
  <c r="P10" i="19" s="1"/>
  <c r="G28" i="22"/>
  <c r="I28"/>
  <c r="K28"/>
  <c r="H28"/>
  <c r="J28"/>
  <c r="L28"/>
  <c r="G27"/>
  <c r="I27"/>
  <c r="K27"/>
  <c r="H27"/>
  <c r="J27"/>
  <c r="L27"/>
  <c r="G26"/>
  <c r="I26"/>
  <c r="K26"/>
  <c r="H26"/>
  <c r="J26"/>
  <c r="L26"/>
  <c r="G25"/>
  <c r="I25"/>
  <c r="K25"/>
  <c r="H25"/>
  <c r="J25"/>
  <c r="L25"/>
  <c r="G24"/>
  <c r="I24"/>
  <c r="K24"/>
  <c r="H24"/>
  <c r="J24"/>
  <c r="L24"/>
  <c r="G23"/>
  <c r="I23"/>
  <c r="K23"/>
  <c r="H23"/>
  <c r="J23"/>
  <c r="L23"/>
  <c r="G21"/>
  <c r="I21"/>
  <c r="K21"/>
  <c r="H21"/>
  <c r="J21"/>
  <c r="L21"/>
  <c r="G20"/>
  <c r="I20"/>
  <c r="K20"/>
  <c r="H20"/>
  <c r="J20"/>
  <c r="L20"/>
  <c r="G9"/>
  <c r="H36" i="16" s="1"/>
  <c r="I9" i="22"/>
  <c r="J36" i="16" s="1"/>
  <c r="K9" i="22"/>
  <c r="H9"/>
  <c r="I36" i="16" s="1"/>
  <c r="J9" i="22"/>
  <c r="L9"/>
  <c r="G22"/>
  <c r="I22"/>
  <c r="K22"/>
  <c r="H22"/>
  <c r="J22"/>
  <c r="L22"/>
  <c r="I7"/>
  <c r="K7"/>
  <c r="G7"/>
  <c r="H7"/>
  <c r="J7"/>
  <c r="L7"/>
  <c r="H34"/>
  <c r="J34"/>
  <c r="L34"/>
  <c r="G34"/>
  <c r="I34"/>
  <c r="K34"/>
  <c r="G33"/>
  <c r="J33"/>
  <c r="L33"/>
  <c r="I33"/>
  <c r="K33"/>
  <c r="G32"/>
  <c r="I32"/>
  <c r="K32"/>
  <c r="H32"/>
  <c r="J32"/>
  <c r="L32"/>
  <c r="G31"/>
  <c r="I31"/>
  <c r="K31"/>
  <c r="H31"/>
  <c r="J31"/>
  <c r="L31"/>
  <c r="G30"/>
  <c r="I30"/>
  <c r="K30"/>
  <c r="H30"/>
  <c r="J30"/>
  <c r="L30"/>
  <c r="G29"/>
  <c r="I29"/>
  <c r="K29"/>
  <c r="H29"/>
  <c r="J29"/>
  <c r="L29"/>
  <c r="G8"/>
  <c r="I8"/>
  <c r="K8"/>
  <c r="H8"/>
  <c r="J8"/>
  <c r="L8"/>
  <c r="F60"/>
  <c r="B39" i="15"/>
  <c r="B51"/>
  <c r="D29"/>
  <c r="G147" i="13"/>
  <c r="H75" i="15"/>
  <c r="V237" i="16"/>
  <c r="V69" s="1"/>
  <c r="E233"/>
  <c r="V254"/>
  <c r="V86" s="1"/>
  <c r="D75" i="15"/>
  <c r="D77" s="1"/>
  <c r="D79" s="1"/>
  <c r="D80" s="1"/>
  <c r="D82" s="1"/>
  <c r="E74" s="1"/>
  <c r="O282" i="16"/>
  <c r="O114" s="1"/>
  <c r="AD114" s="1"/>
  <c r="E231"/>
  <c r="F62"/>
  <c r="E334"/>
  <c r="F101"/>
  <c r="S204"/>
  <c r="F18" i="22"/>
  <c r="E16" i="16"/>
  <c r="E268"/>
  <c r="V249"/>
  <c r="U81"/>
  <c r="V231"/>
  <c r="U63"/>
  <c r="W217"/>
  <c r="V49"/>
  <c r="W215"/>
  <c r="V47"/>
  <c r="W240"/>
  <c r="V72"/>
  <c r="W258"/>
  <c r="V90"/>
  <c r="W262"/>
  <c r="V94"/>
  <c r="W257"/>
  <c r="V89"/>
  <c r="V293"/>
  <c r="U124"/>
  <c r="U146" s="1"/>
  <c r="Q13" i="19" s="1"/>
  <c r="V232" i="16"/>
  <c r="U64"/>
  <c r="V230"/>
  <c r="U62"/>
  <c r="U56"/>
  <c r="V224"/>
  <c r="T58"/>
  <c r="P11" i="19" s="1"/>
  <c r="W213" i="16"/>
  <c r="V45"/>
  <c r="W211"/>
  <c r="V43"/>
  <c r="W218"/>
  <c r="V50"/>
  <c r="W239"/>
  <c r="V71"/>
  <c r="W244"/>
  <c r="V76"/>
  <c r="V250"/>
  <c r="U82"/>
  <c r="V247"/>
  <c r="U79"/>
  <c r="W252"/>
  <c r="V84"/>
  <c r="W260"/>
  <c r="V92"/>
  <c r="V246"/>
  <c r="U78"/>
  <c r="V212"/>
  <c r="U44"/>
  <c r="V216"/>
  <c r="U48"/>
  <c r="T146"/>
  <c r="P13" i="19" s="1"/>
  <c r="V253" i="16"/>
  <c r="U85"/>
  <c r="V255"/>
  <c r="U87"/>
  <c r="V259"/>
  <c r="U91"/>
  <c r="V261"/>
  <c r="U93"/>
  <c r="V263"/>
  <c r="U95"/>
  <c r="V248"/>
  <c r="U80"/>
  <c r="V233"/>
  <c r="U65"/>
  <c r="T96"/>
  <c r="P12" i="19" s="1"/>
  <c r="V236" i="16"/>
  <c r="U68"/>
  <c r="V238"/>
  <c r="U70"/>
  <c r="V241"/>
  <c r="U73"/>
  <c r="V242"/>
  <c r="U74"/>
  <c r="V243"/>
  <c r="U75"/>
  <c r="V235"/>
  <c r="U67"/>
  <c r="V223"/>
  <c r="U55"/>
  <c r="E254"/>
  <c r="F86"/>
  <c r="E256"/>
  <c r="F88"/>
  <c r="E258"/>
  <c r="F90"/>
  <c r="E260"/>
  <c r="F92"/>
  <c r="E262"/>
  <c r="F94"/>
  <c r="E248"/>
  <c r="F80"/>
  <c r="E250"/>
  <c r="F82"/>
  <c r="E237"/>
  <c r="F69"/>
  <c r="E239"/>
  <c r="F71"/>
  <c r="E240"/>
  <c r="F72"/>
  <c r="E244"/>
  <c r="F76"/>
  <c r="E236"/>
  <c r="F68"/>
  <c r="E253"/>
  <c r="F85"/>
  <c r="E255"/>
  <c r="F87"/>
  <c r="E257"/>
  <c r="F89"/>
  <c r="E259"/>
  <c r="F91"/>
  <c r="E261"/>
  <c r="F93"/>
  <c r="E263"/>
  <c r="F95"/>
  <c r="E252"/>
  <c r="F84"/>
  <c r="E247"/>
  <c r="F79"/>
  <c r="E249"/>
  <c r="F81"/>
  <c r="E246"/>
  <c r="F78"/>
  <c r="E238"/>
  <c r="F70"/>
  <c r="E241"/>
  <c r="F73"/>
  <c r="E242"/>
  <c r="F74"/>
  <c r="E243"/>
  <c r="F75"/>
  <c r="E235"/>
  <c r="F64"/>
  <c r="J96"/>
  <c r="E62"/>
  <c r="E96" s="1"/>
  <c r="F45" i="22" s="1"/>
  <c r="E277" i="16"/>
  <c r="P277" s="1"/>
  <c r="Q277"/>
  <c r="Q109" s="1"/>
  <c r="N109" s="1"/>
  <c r="E270"/>
  <c r="P270" s="1"/>
  <c r="E269"/>
  <c r="E276"/>
  <c r="P276" s="1"/>
  <c r="Q276"/>
  <c r="Q108" s="1"/>
  <c r="N108" s="1"/>
  <c r="E100"/>
  <c r="E146" s="1"/>
  <c r="F46" i="22" s="1"/>
  <c r="J146" i="16"/>
  <c r="F13" i="19" s="1"/>
  <c r="F13" i="22"/>
  <c r="F19"/>
  <c r="F63"/>
  <c r="F61"/>
  <c r="F59"/>
  <c r="F56"/>
  <c r="C7"/>
  <c r="V210" i="16"/>
  <c r="V42" s="1"/>
  <c r="U220"/>
  <c r="F45" i="17"/>
  <c r="E53"/>
  <c r="F51"/>
  <c r="F48"/>
  <c r="F49"/>
  <c r="F57"/>
  <c r="F63" s="1"/>
  <c r="F46"/>
  <c r="H254"/>
  <c r="D63"/>
  <c r="E63"/>
  <c r="F34"/>
  <c r="F38"/>
  <c r="F36"/>
  <c r="F57" i="22"/>
  <c r="F64"/>
  <c r="F43"/>
  <c r="F44"/>
  <c r="F55"/>
  <c r="C8"/>
  <c r="F29" i="15" l="1"/>
  <c r="H29"/>
  <c r="E29"/>
  <c r="G29"/>
  <c r="Z14" i="19"/>
  <c r="V88" i="16"/>
  <c r="W237"/>
  <c r="X237" s="1"/>
  <c r="I39"/>
  <c r="E9" i="19" s="1"/>
  <c r="E19" s="1"/>
  <c r="I204" i="16"/>
  <c r="H39"/>
  <c r="D9" i="19" s="1"/>
  <c r="D19" s="1"/>
  <c r="H204" i="16"/>
  <c r="P19" i="19"/>
  <c r="I10" i="22"/>
  <c r="F10" s="1"/>
  <c r="F12" i="19"/>
  <c r="J39" i="16"/>
  <c r="F9" i="19" s="1"/>
  <c r="E10" i="16"/>
  <c r="D21" i="15" s="1"/>
  <c r="I11" i="22"/>
  <c r="F11" s="1"/>
  <c r="J204" i="16"/>
  <c r="W254"/>
  <c r="W86" s="1"/>
  <c r="D27" i="15"/>
  <c r="G145" i="13"/>
  <c r="F9" i="22"/>
  <c r="U58" i="16"/>
  <c r="Q11" i="19" s="1"/>
  <c r="E264" i="16"/>
  <c r="U52"/>
  <c r="Q10" i="19" s="1"/>
  <c r="N282" i="16"/>
  <c r="AD282"/>
  <c r="K36" i="22"/>
  <c r="G36"/>
  <c r="D42" i="13"/>
  <c r="T204" i="16"/>
  <c r="P269"/>
  <c r="P268"/>
  <c r="L36" i="22"/>
  <c r="J36"/>
  <c r="W235" i="16"/>
  <c r="V67"/>
  <c r="W243"/>
  <c r="V75"/>
  <c r="W236"/>
  <c r="V68"/>
  <c r="W233"/>
  <c r="V65"/>
  <c r="W248"/>
  <c r="V80"/>
  <c r="W261"/>
  <c r="V93"/>
  <c r="W255"/>
  <c r="V87"/>
  <c r="W246"/>
  <c r="V78"/>
  <c r="X260"/>
  <c r="W92"/>
  <c r="X252"/>
  <c r="W84"/>
  <c r="W250"/>
  <c r="V82"/>
  <c r="X239"/>
  <c r="W71"/>
  <c r="X211"/>
  <c r="W43"/>
  <c r="W224"/>
  <c r="V56"/>
  <c r="X257"/>
  <c r="W89"/>
  <c r="X262"/>
  <c r="W94"/>
  <c r="X240"/>
  <c r="W72"/>
  <c r="X215"/>
  <c r="W47"/>
  <c r="U96"/>
  <c r="Q12" i="19" s="1"/>
  <c r="W223" i="16"/>
  <c r="V55"/>
  <c r="W242"/>
  <c r="V74"/>
  <c r="W241"/>
  <c r="V73"/>
  <c r="W238"/>
  <c r="V70"/>
  <c r="W263"/>
  <c r="V95"/>
  <c r="W259"/>
  <c r="V91"/>
  <c r="W253"/>
  <c r="V85"/>
  <c r="W216"/>
  <c r="V48"/>
  <c r="W212"/>
  <c r="V44"/>
  <c r="X256"/>
  <c r="W88"/>
  <c r="W247"/>
  <c r="V79"/>
  <c r="X244"/>
  <c r="W76"/>
  <c r="X218"/>
  <c r="W50"/>
  <c r="X213"/>
  <c r="W45"/>
  <c r="W230"/>
  <c r="V62"/>
  <c r="W232"/>
  <c r="V64"/>
  <c r="W293"/>
  <c r="V124"/>
  <c r="X254"/>
  <c r="X258"/>
  <c r="W90"/>
  <c r="W69"/>
  <c r="X217"/>
  <c r="W49"/>
  <c r="W231"/>
  <c r="V63"/>
  <c r="W249"/>
  <c r="V81"/>
  <c r="E315"/>
  <c r="Q146"/>
  <c r="M13" i="19" s="1"/>
  <c r="W210" i="16"/>
  <c r="W42" s="1"/>
  <c r="V220"/>
  <c r="F53" i="17"/>
  <c r="F64" s="1"/>
  <c r="F7" i="22"/>
  <c r="F27" i="15" l="1"/>
  <c r="H27"/>
  <c r="E27"/>
  <c r="G27"/>
  <c r="D64"/>
  <c r="D66" s="1"/>
  <c r="D68" s="1"/>
  <c r="D69" s="1"/>
  <c r="D71" s="1"/>
  <c r="F21"/>
  <c r="H21"/>
  <c r="E21"/>
  <c r="G21"/>
  <c r="Y9" i="19"/>
  <c r="Z9" s="1"/>
  <c r="Q19"/>
  <c r="E7" i="16"/>
  <c r="F19" i="19"/>
  <c r="I36" i="22"/>
  <c r="U204" i="16"/>
  <c r="V58"/>
  <c r="R11" i="19" s="1"/>
  <c r="V52" i="16"/>
  <c r="R10" i="19" s="1"/>
  <c r="X249" i="16"/>
  <c r="W81"/>
  <c r="V146"/>
  <c r="R13" i="19" s="1"/>
  <c r="V96" i="16"/>
  <c r="R12" i="19" s="1"/>
  <c r="X216" i="16"/>
  <c r="W48"/>
  <c r="X253"/>
  <c r="W85"/>
  <c r="X259"/>
  <c r="W91"/>
  <c r="X263"/>
  <c r="W95"/>
  <c r="X238"/>
  <c r="W70"/>
  <c r="X241"/>
  <c r="W73"/>
  <c r="X242"/>
  <c r="W74"/>
  <c r="X223"/>
  <c r="W55"/>
  <c r="Y215"/>
  <c r="X47"/>
  <c r="Y240"/>
  <c r="X72"/>
  <c r="Y262"/>
  <c r="X94"/>
  <c r="Y257"/>
  <c r="X89"/>
  <c r="X224"/>
  <c r="W56"/>
  <c r="Y211"/>
  <c r="X43"/>
  <c r="Y239"/>
  <c r="X71"/>
  <c r="X250"/>
  <c r="W82"/>
  <c r="Y252"/>
  <c r="X84"/>
  <c r="Y260"/>
  <c r="X92"/>
  <c r="X246"/>
  <c r="W78"/>
  <c r="X255"/>
  <c r="W87"/>
  <c r="X261"/>
  <c r="W93"/>
  <c r="X233"/>
  <c r="W65"/>
  <c r="X236"/>
  <c r="W68"/>
  <c r="X243"/>
  <c r="W75"/>
  <c r="X235"/>
  <c r="W67"/>
  <c r="X231"/>
  <c r="W63"/>
  <c r="Y217"/>
  <c r="X49"/>
  <c r="Y237"/>
  <c r="X69"/>
  <c r="Y258"/>
  <c r="X90"/>
  <c r="Y254"/>
  <c r="X86"/>
  <c r="X293"/>
  <c r="W124"/>
  <c r="W146" s="1"/>
  <c r="S13" i="19" s="1"/>
  <c r="X232" i="16"/>
  <c r="W64"/>
  <c r="X230"/>
  <c r="W62"/>
  <c r="Y213"/>
  <c r="X45"/>
  <c r="Y218"/>
  <c r="X50"/>
  <c r="Y244"/>
  <c r="X76"/>
  <c r="X247"/>
  <c r="W79"/>
  <c r="Y256"/>
  <c r="X88"/>
  <c r="X212"/>
  <c r="W44"/>
  <c r="X248"/>
  <c r="W80"/>
  <c r="X210"/>
  <c r="X42" s="1"/>
  <c r="W220"/>
  <c r="L132" i="12"/>
  <c r="M132" s="1"/>
  <c r="L133"/>
  <c r="M133" s="1"/>
  <c r="L134"/>
  <c r="M134" s="1"/>
  <c r="B28" i="19"/>
  <c r="B24"/>
  <c r="B25"/>
  <c r="B26"/>
  <c r="B27"/>
  <c r="B23"/>
  <c r="E63" i="15" l="1"/>
  <c r="R19" i="19"/>
  <c r="V204" i="16"/>
  <c r="W52"/>
  <c r="S10" i="19" s="1"/>
  <c r="Y212" i="16"/>
  <c r="X44"/>
  <c r="Y230"/>
  <c r="X62"/>
  <c r="Y293"/>
  <c r="X124"/>
  <c r="X146" s="1"/>
  <c r="T13" i="19" s="1"/>
  <c r="Y243" i="16"/>
  <c r="X75"/>
  <c r="Z256"/>
  <c r="Y88"/>
  <c r="Z244"/>
  <c r="Y76"/>
  <c r="Z218"/>
  <c r="Y50"/>
  <c r="Z254"/>
  <c r="Y86"/>
  <c r="Z258"/>
  <c r="Y90"/>
  <c r="Z217"/>
  <c r="Y49"/>
  <c r="Y231"/>
  <c r="X63"/>
  <c r="Y235"/>
  <c r="X67"/>
  <c r="Y236"/>
  <c r="X68"/>
  <c r="Y233"/>
  <c r="X65"/>
  <c r="Y255"/>
  <c r="X87"/>
  <c r="Z252"/>
  <c r="Y84"/>
  <c r="Z211"/>
  <c r="Y43"/>
  <c r="Y224"/>
  <c r="X56"/>
  <c r="Z262"/>
  <c r="Y94"/>
  <c r="Z240"/>
  <c r="Y72"/>
  <c r="Y223"/>
  <c r="X55"/>
  <c r="Y242"/>
  <c r="X74"/>
  <c r="Y238"/>
  <c r="X70"/>
  <c r="Y259"/>
  <c r="X91"/>
  <c r="W96"/>
  <c r="S12" i="19" s="1"/>
  <c r="Y248" i="16"/>
  <c r="X80"/>
  <c r="Y247"/>
  <c r="X79"/>
  <c r="Z213"/>
  <c r="Y45"/>
  <c r="Y232"/>
  <c r="X64"/>
  <c r="Z237"/>
  <c r="Y69"/>
  <c r="Y261"/>
  <c r="X93"/>
  <c r="Y246"/>
  <c r="X78"/>
  <c r="Z260"/>
  <c r="Y92"/>
  <c r="Y250"/>
  <c r="X82"/>
  <c r="Z239"/>
  <c r="Y71"/>
  <c r="Z257"/>
  <c r="Y89"/>
  <c r="Z215"/>
  <c r="Y47"/>
  <c r="W58"/>
  <c r="S11" i="19" s="1"/>
  <c r="Y241" i="16"/>
  <c r="X73"/>
  <c r="Y263"/>
  <c r="X95"/>
  <c r="Y253"/>
  <c r="X85"/>
  <c r="Y216"/>
  <c r="X48"/>
  <c r="Y249"/>
  <c r="X81"/>
  <c r="Y210"/>
  <c r="Y42" s="1"/>
  <c r="X220"/>
  <c r="S19" i="19" l="1"/>
  <c r="X52" i="16"/>
  <c r="T10" i="19" s="1"/>
  <c r="X58" i="16"/>
  <c r="T11" i="19" s="1"/>
  <c r="W204" i="16"/>
  <c r="Z232"/>
  <c r="Y64"/>
  <c r="AA213"/>
  <c r="Z45"/>
  <c r="Z247"/>
  <c r="Y79"/>
  <c r="Z259"/>
  <c r="Y91"/>
  <c r="Z238"/>
  <c r="Y70"/>
  <c r="Z242"/>
  <c r="Y74"/>
  <c r="Z223"/>
  <c r="Y55"/>
  <c r="AA240"/>
  <c r="Z72"/>
  <c r="AA262"/>
  <c r="Z94"/>
  <c r="Z233"/>
  <c r="Y65"/>
  <c r="Z236"/>
  <c r="Y68"/>
  <c r="Z235"/>
  <c r="Y67"/>
  <c r="AA217"/>
  <c r="Z49"/>
  <c r="AA258"/>
  <c r="Z90"/>
  <c r="AA254"/>
  <c r="Z86"/>
  <c r="AA218"/>
  <c r="Z50"/>
  <c r="AA244"/>
  <c r="Z76"/>
  <c r="AA256"/>
  <c r="Z88"/>
  <c r="Z243"/>
  <c r="Y75"/>
  <c r="Z293"/>
  <c r="Y124"/>
  <c r="Y146" s="1"/>
  <c r="U13" i="19" s="1"/>
  <c r="Z230" i="16"/>
  <c r="Y62"/>
  <c r="Z249"/>
  <c r="Y81"/>
  <c r="Z216"/>
  <c r="Y48"/>
  <c r="Z253"/>
  <c r="Y85"/>
  <c r="Z263"/>
  <c r="Y95"/>
  <c r="Z241"/>
  <c r="Y73"/>
  <c r="AA215"/>
  <c r="Z47"/>
  <c r="AA257"/>
  <c r="Z89"/>
  <c r="AA239"/>
  <c r="Z71"/>
  <c r="Z250"/>
  <c r="Y82"/>
  <c r="AA260"/>
  <c r="Z92"/>
  <c r="Z246"/>
  <c r="Y78"/>
  <c r="Z261"/>
  <c r="Y93"/>
  <c r="AA237"/>
  <c r="Z69"/>
  <c r="Z248"/>
  <c r="Y80"/>
  <c r="Z224"/>
  <c r="Y56"/>
  <c r="AA211"/>
  <c r="Z43"/>
  <c r="AA252"/>
  <c r="Z84"/>
  <c r="Z255"/>
  <c r="Y87"/>
  <c r="Z231"/>
  <c r="Y63"/>
  <c r="Z212"/>
  <c r="Y44"/>
  <c r="X96"/>
  <c r="T12" i="19" s="1"/>
  <c r="Z210" i="16"/>
  <c r="Z42" s="1"/>
  <c r="Y220"/>
  <c r="T19" i="19" l="1"/>
  <c r="X204" i="16"/>
  <c r="Y52"/>
  <c r="U10" i="19" s="1"/>
  <c r="AA212" i="16"/>
  <c r="Z44"/>
  <c r="AA255"/>
  <c r="Z87"/>
  <c r="AB252"/>
  <c r="AA84"/>
  <c r="AB211"/>
  <c r="AA43"/>
  <c r="AA224"/>
  <c r="Z56"/>
  <c r="AA248"/>
  <c r="Z80"/>
  <c r="AA261"/>
  <c r="Z93"/>
  <c r="AB260"/>
  <c r="AA92"/>
  <c r="AB239"/>
  <c r="AA71"/>
  <c r="AB215"/>
  <c r="AA47"/>
  <c r="AA241"/>
  <c r="Z73"/>
  <c r="Y96"/>
  <c r="U12" i="19" s="1"/>
  <c r="AA243" i="16"/>
  <c r="Z75"/>
  <c r="AB256"/>
  <c r="AA88"/>
  <c r="AB218"/>
  <c r="AA50"/>
  <c r="AB258"/>
  <c r="AA90"/>
  <c r="AB217"/>
  <c r="AA49"/>
  <c r="AB262"/>
  <c r="AA94"/>
  <c r="AB240"/>
  <c r="AA72"/>
  <c r="Y58"/>
  <c r="U11" i="19" s="1"/>
  <c r="AA242" i="16"/>
  <c r="Z74"/>
  <c r="AA247"/>
  <c r="Z79"/>
  <c r="AB213"/>
  <c r="AA45"/>
  <c r="AA232"/>
  <c r="Z64"/>
  <c r="AA231"/>
  <c r="Z63"/>
  <c r="AB237"/>
  <c r="AA69"/>
  <c r="AA246"/>
  <c r="Z78"/>
  <c r="AA250"/>
  <c r="Z82"/>
  <c r="AB257"/>
  <c r="AA89"/>
  <c r="AA263"/>
  <c r="Z95"/>
  <c r="AA253"/>
  <c r="Z85"/>
  <c r="AA216"/>
  <c r="Z48"/>
  <c r="AA249"/>
  <c r="Z81"/>
  <c r="AA230"/>
  <c r="Z62"/>
  <c r="AA293"/>
  <c r="Z124"/>
  <c r="Z146" s="1"/>
  <c r="V13" i="19" s="1"/>
  <c r="AB244" i="16"/>
  <c r="AA76"/>
  <c r="AB254"/>
  <c r="AA86"/>
  <c r="AA235"/>
  <c r="Z67"/>
  <c r="AA236"/>
  <c r="Z68"/>
  <c r="AA233"/>
  <c r="Z65"/>
  <c r="AA223"/>
  <c r="Z55"/>
  <c r="AA238"/>
  <c r="Z70"/>
  <c r="AA259"/>
  <c r="Z91"/>
  <c r="AA210"/>
  <c r="AA42" s="1"/>
  <c r="Z220"/>
  <c r="U19" i="19" l="1"/>
  <c r="Z58" i="16"/>
  <c r="V11" i="19" s="1"/>
  <c r="Z52" i="16"/>
  <c r="V10" i="19" s="1"/>
  <c r="Y204" i="16"/>
  <c r="AB259"/>
  <c r="AB91" s="1"/>
  <c r="AA91"/>
  <c r="AB238"/>
  <c r="AB70" s="1"/>
  <c r="AA70"/>
  <c r="AB233"/>
  <c r="AA65"/>
  <c r="AB236"/>
  <c r="AB68" s="1"/>
  <c r="AA68"/>
  <c r="AB235"/>
  <c r="AB67" s="1"/>
  <c r="AA67"/>
  <c r="AB86"/>
  <c r="N86" s="1"/>
  <c r="O254"/>
  <c r="AB76"/>
  <c r="N76" s="1"/>
  <c r="O244"/>
  <c r="AB293"/>
  <c r="AB124" s="1"/>
  <c r="AA124"/>
  <c r="AA146" s="1"/>
  <c r="W13" i="19" s="1"/>
  <c r="AB230" i="16"/>
  <c r="AB62" s="1"/>
  <c r="AA62"/>
  <c r="AB231"/>
  <c r="AA63"/>
  <c r="AB232"/>
  <c r="AA64"/>
  <c r="AB45"/>
  <c r="N45" s="1"/>
  <c r="O213"/>
  <c r="AB247"/>
  <c r="AB79" s="1"/>
  <c r="AA79"/>
  <c r="AB242"/>
  <c r="AB74" s="1"/>
  <c r="AA74"/>
  <c r="AB72"/>
  <c r="N72" s="1"/>
  <c r="O240"/>
  <c r="AB94"/>
  <c r="N94" s="1"/>
  <c r="O262"/>
  <c r="AB248"/>
  <c r="AA80"/>
  <c r="AB212"/>
  <c r="AA44"/>
  <c r="AB223"/>
  <c r="AB55" s="1"/>
  <c r="AA55"/>
  <c r="AB249"/>
  <c r="AA81"/>
  <c r="AB216"/>
  <c r="AA48"/>
  <c r="AB253"/>
  <c r="AB85" s="1"/>
  <c r="AA85"/>
  <c r="AB263"/>
  <c r="AB95" s="1"/>
  <c r="AA95"/>
  <c r="AB89"/>
  <c r="N89" s="1"/>
  <c r="O257"/>
  <c r="AB250"/>
  <c r="AB82" s="1"/>
  <c r="AA82"/>
  <c r="AB246"/>
  <c r="AB78" s="1"/>
  <c r="AA78"/>
  <c r="AB69"/>
  <c r="N69" s="1"/>
  <c r="O237"/>
  <c r="AB49"/>
  <c r="N49" s="1"/>
  <c r="O217"/>
  <c r="AB90"/>
  <c r="N90" s="1"/>
  <c r="O258"/>
  <c r="AB50"/>
  <c r="N50" s="1"/>
  <c r="O218"/>
  <c r="AB88"/>
  <c r="N88" s="1"/>
  <c r="O256"/>
  <c r="AB243"/>
  <c r="AB75" s="1"/>
  <c r="AA75"/>
  <c r="AB241"/>
  <c r="AB73" s="1"/>
  <c r="AA73"/>
  <c r="AB47"/>
  <c r="N47" s="1"/>
  <c r="O215"/>
  <c r="AB71"/>
  <c r="N71" s="1"/>
  <c r="O239"/>
  <c r="AB92"/>
  <c r="N92" s="1"/>
  <c r="O260"/>
  <c r="AB261"/>
  <c r="AB93" s="1"/>
  <c r="AA93"/>
  <c r="AB224"/>
  <c r="AA56"/>
  <c r="AB43"/>
  <c r="N43" s="1"/>
  <c r="O211"/>
  <c r="AB84"/>
  <c r="N84" s="1"/>
  <c r="O252"/>
  <c r="AB255"/>
  <c r="AB87" s="1"/>
  <c r="AA87"/>
  <c r="Z96"/>
  <c r="V12" i="19" s="1"/>
  <c r="AA220" i="16"/>
  <c r="AB210"/>
  <c r="O247" l="1"/>
  <c r="O255"/>
  <c r="N255" s="1"/>
  <c r="O243"/>
  <c r="N243" s="1"/>
  <c r="O261"/>
  <c r="O93" s="1"/>
  <c r="V19" i="19"/>
  <c r="O263" i="16"/>
  <c r="O95" s="1"/>
  <c r="O235"/>
  <c r="O67" s="1"/>
  <c r="O241"/>
  <c r="O73" s="1"/>
  <c r="O238"/>
  <c r="N238" s="1"/>
  <c r="O246"/>
  <c r="O78" s="1"/>
  <c r="O253"/>
  <c r="O85" s="1"/>
  <c r="O236"/>
  <c r="N236" s="1"/>
  <c r="O259"/>
  <c r="N259" s="1"/>
  <c r="O250"/>
  <c r="N250" s="1"/>
  <c r="O223"/>
  <c r="N223" s="1"/>
  <c r="O242"/>
  <c r="O74" s="1"/>
  <c r="Z204"/>
  <c r="N73"/>
  <c r="N75"/>
  <c r="N82"/>
  <c r="AA52"/>
  <c r="W10" i="19" s="1"/>
  <c r="N91" i="16"/>
  <c r="N95"/>
  <c r="N68"/>
  <c r="N211"/>
  <c r="O43"/>
  <c r="N260"/>
  <c r="O92"/>
  <c r="N239"/>
  <c r="O71"/>
  <c r="N215"/>
  <c r="O47"/>
  <c r="N237"/>
  <c r="O69"/>
  <c r="N55"/>
  <c r="N213"/>
  <c r="O45"/>
  <c r="N244"/>
  <c r="O76"/>
  <c r="N254"/>
  <c r="O86"/>
  <c r="AA96"/>
  <c r="W12" i="19" s="1"/>
  <c r="N67" i="16"/>
  <c r="AB220"/>
  <c r="AB42"/>
  <c r="N252"/>
  <c r="O84"/>
  <c r="AB56"/>
  <c r="N56" s="1"/>
  <c r="O224"/>
  <c r="N256"/>
  <c r="O88"/>
  <c r="N218"/>
  <c r="O50"/>
  <c r="N258"/>
  <c r="O90"/>
  <c r="N217"/>
  <c r="O49"/>
  <c r="N257"/>
  <c r="O89"/>
  <c r="AB48"/>
  <c r="N48" s="1"/>
  <c r="O216"/>
  <c r="AB81"/>
  <c r="N81" s="1"/>
  <c r="O249"/>
  <c r="AB44"/>
  <c r="N44" s="1"/>
  <c r="O212"/>
  <c r="AB80"/>
  <c r="N80" s="1"/>
  <c r="O248"/>
  <c r="N262"/>
  <c r="O94"/>
  <c r="N240"/>
  <c r="O72"/>
  <c r="N247"/>
  <c r="O79"/>
  <c r="AB64"/>
  <c r="N64" s="1"/>
  <c r="O232"/>
  <c r="AB63"/>
  <c r="N63" s="1"/>
  <c r="O231"/>
  <c r="N62"/>
  <c r="AB146"/>
  <c r="X13" i="19" s="1"/>
  <c r="N124" i="16"/>
  <c r="N146" s="1"/>
  <c r="AB65"/>
  <c r="N65" s="1"/>
  <c r="O233"/>
  <c r="N87"/>
  <c r="N93"/>
  <c r="N78"/>
  <c r="N85"/>
  <c r="AA58"/>
  <c r="W11" i="19" s="1"/>
  <c r="N74" i="16"/>
  <c r="N79"/>
  <c r="N70"/>
  <c r="O210"/>
  <c r="D11" i="15"/>
  <c r="E11"/>
  <c r="F11"/>
  <c r="G11"/>
  <c r="H11"/>
  <c r="D9"/>
  <c r="B59"/>
  <c r="D59"/>
  <c r="E59" s="1"/>
  <c r="F59" s="1"/>
  <c r="G59" s="1"/>
  <c r="H59" s="1"/>
  <c r="D56"/>
  <c r="D57"/>
  <c r="E57" s="1"/>
  <c r="F57" s="1"/>
  <c r="G57" s="1"/>
  <c r="H57" s="1"/>
  <c r="D58"/>
  <c r="E58" s="1"/>
  <c r="F58" s="1"/>
  <c r="G58" s="1"/>
  <c r="H58" s="1"/>
  <c r="D60"/>
  <c r="E60" s="1"/>
  <c r="F60" s="1"/>
  <c r="G60" s="1"/>
  <c r="H60" s="1"/>
  <c r="D55"/>
  <c r="B56"/>
  <c r="B57"/>
  <c r="B58"/>
  <c r="B60"/>
  <c r="B55"/>
  <c r="B44"/>
  <c r="B45"/>
  <c r="B46"/>
  <c r="B47"/>
  <c r="B48"/>
  <c r="B43"/>
  <c r="O276" i="16"/>
  <c r="O108" s="1"/>
  <c r="AD108" s="1"/>
  <c r="O277"/>
  <c r="O109" s="1"/>
  <c r="AD109" s="1"/>
  <c r="O278"/>
  <c r="O110" s="1"/>
  <c r="AD110" s="1"/>
  <c r="O279"/>
  <c r="O111" s="1"/>
  <c r="AD111" s="1"/>
  <c r="O280"/>
  <c r="O112" s="1"/>
  <c r="AD112" s="1"/>
  <c r="O281"/>
  <c r="O113" s="1"/>
  <c r="AD113" s="1"/>
  <c r="O369"/>
  <c r="O368"/>
  <c r="O286"/>
  <c r="O117" s="1"/>
  <c r="AD117" s="1"/>
  <c r="K36" i="5"/>
  <c r="I36"/>
  <c r="F34"/>
  <c r="G21"/>
  <c r="F21"/>
  <c r="H16"/>
  <c r="G16"/>
  <c r="F16"/>
  <c r="O75" i="16" l="1"/>
  <c r="N253"/>
  <c r="N241"/>
  <c r="O87"/>
  <c r="O82"/>
  <c r="N261"/>
  <c r="O68"/>
  <c r="O70"/>
  <c r="O91"/>
  <c r="W19" i="19"/>
  <c r="O55" i="16"/>
  <c r="Y13" i="19"/>
  <c r="N242" i="16"/>
  <c r="N246"/>
  <c r="N235"/>
  <c r="N263"/>
  <c r="AA204"/>
  <c r="E15"/>
  <c r="O199"/>
  <c r="AD199" s="1"/>
  <c r="AD368"/>
  <c r="AB96"/>
  <c r="X12" i="19" s="1"/>
  <c r="Y12" s="1"/>
  <c r="AB58" i="16"/>
  <c r="X11" i="19" s="1"/>
  <c r="Y11" s="1"/>
  <c r="O200" i="16"/>
  <c r="AD200" s="1"/>
  <c r="AD369"/>
  <c r="N210"/>
  <c r="O42"/>
  <c r="N233"/>
  <c r="O65"/>
  <c r="AD65" s="1"/>
  <c r="AD233"/>
  <c r="N231"/>
  <c r="O63"/>
  <c r="N232"/>
  <c r="O64"/>
  <c r="N248"/>
  <c r="O80"/>
  <c r="N212"/>
  <c r="O44"/>
  <c r="N249"/>
  <c r="O81"/>
  <c r="N216"/>
  <c r="O48"/>
  <c r="N224"/>
  <c r="N226" s="1"/>
  <c r="O56"/>
  <c r="AB52"/>
  <c r="X10" i="19" s="1"/>
  <c r="Y10" s="1"/>
  <c r="N42" i="16"/>
  <c r="N52" s="1"/>
  <c r="N96"/>
  <c r="E14" s="1"/>
  <c r="D25" i="15" s="1"/>
  <c r="N58" i="16"/>
  <c r="N281"/>
  <c r="AD281"/>
  <c r="N279"/>
  <c r="AD279"/>
  <c r="N286"/>
  <c r="AD286"/>
  <c r="N280"/>
  <c r="AD280"/>
  <c r="N278"/>
  <c r="AD278"/>
  <c r="N276"/>
  <c r="AD276"/>
  <c r="N277"/>
  <c r="AD277"/>
  <c r="E56" i="15"/>
  <c r="E55"/>
  <c r="F55" s="1"/>
  <c r="G55" s="1"/>
  <c r="H55" s="1"/>
  <c r="F25" l="1"/>
  <c r="H25"/>
  <c r="E25"/>
  <c r="G25"/>
  <c r="Z12" i="19"/>
  <c r="G144" i="13"/>
  <c r="Z13" i="19"/>
  <c r="X19"/>
  <c r="AB204" i="16"/>
  <c r="D26" i="15"/>
  <c r="E13" i="16"/>
  <c r="D24" i="15" s="1"/>
  <c r="E12" i="16"/>
  <c r="D23" i="15" s="1"/>
  <c r="N220" i="16"/>
  <c r="F56" i="15"/>
  <c r="F26" i="17"/>
  <c r="F24"/>
  <c r="F11"/>
  <c r="F13"/>
  <c r="F15"/>
  <c r="F16"/>
  <c r="F17"/>
  <c r="F18"/>
  <c r="E29"/>
  <c r="E26"/>
  <c r="E25"/>
  <c r="E24"/>
  <c r="E23"/>
  <c r="E22"/>
  <c r="E21"/>
  <c r="E7"/>
  <c r="E9"/>
  <c r="E10"/>
  <c r="E11"/>
  <c r="E12"/>
  <c r="E13"/>
  <c r="E14"/>
  <c r="E15"/>
  <c r="E16"/>
  <c r="E17"/>
  <c r="E18"/>
  <c r="E6"/>
  <c r="D6"/>
  <c r="D29"/>
  <c r="D9"/>
  <c r="D10"/>
  <c r="D11"/>
  <c r="D12"/>
  <c r="D13"/>
  <c r="D14"/>
  <c r="D15"/>
  <c r="D16"/>
  <c r="D17"/>
  <c r="D18"/>
  <c r="D22"/>
  <c r="D23"/>
  <c r="D24"/>
  <c r="D25"/>
  <c r="D26"/>
  <c r="D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3"/>
  <c r="S104"/>
  <c r="S105"/>
  <c r="S106"/>
  <c r="S107"/>
  <c r="S108"/>
  <c r="S109"/>
  <c r="S110"/>
  <c r="S111"/>
  <c r="S112"/>
  <c r="S113"/>
  <c r="S114"/>
  <c r="S115"/>
  <c r="S116"/>
  <c r="S117"/>
  <c r="S118"/>
  <c r="S119"/>
  <c r="S120"/>
  <c r="S121"/>
  <c r="S122"/>
  <c r="S123"/>
  <c r="S124"/>
  <c r="S125"/>
  <c r="S126"/>
  <c r="S127"/>
  <c r="S128"/>
  <c r="S129"/>
  <c r="S130"/>
  <c r="S131"/>
  <c r="S132"/>
  <c r="S133"/>
  <c r="S134"/>
  <c r="S135"/>
  <c r="S136"/>
  <c r="S137"/>
  <c r="S138"/>
  <c r="S139"/>
  <c r="S140"/>
  <c r="S141"/>
  <c r="S142"/>
  <c r="S143"/>
  <c r="S144"/>
  <c r="S145"/>
  <c r="S146"/>
  <c r="S147"/>
  <c r="S148"/>
  <c r="S149"/>
  <c r="S150"/>
  <c r="S151"/>
  <c r="S152"/>
  <c r="S153"/>
  <c r="S154"/>
  <c r="S155"/>
  <c r="S156"/>
  <c r="S157"/>
  <c r="S158"/>
  <c r="S159"/>
  <c r="S160"/>
  <c r="S161"/>
  <c r="S162"/>
  <c r="S163"/>
  <c r="S164"/>
  <c r="S165"/>
  <c r="S166"/>
  <c r="S167"/>
  <c r="S168"/>
  <c r="S169"/>
  <c r="S170"/>
  <c r="S171"/>
  <c r="S172"/>
  <c r="S173"/>
  <c r="S174"/>
  <c r="S175"/>
  <c r="S176"/>
  <c r="S177"/>
  <c r="S178"/>
  <c r="S179"/>
  <c r="S180"/>
  <c r="S181"/>
  <c r="S182"/>
  <c r="S183"/>
  <c r="S184"/>
  <c r="S185"/>
  <c r="S186"/>
  <c r="S187"/>
  <c r="S188"/>
  <c r="S189"/>
  <c r="S190"/>
  <c r="S191"/>
  <c r="S192"/>
  <c r="S193"/>
  <c r="S194"/>
  <c r="S195"/>
  <c r="S196"/>
  <c r="S197"/>
  <c r="S198"/>
  <c r="S199"/>
  <c r="S200"/>
  <c r="S201"/>
  <c r="S202"/>
  <c r="S203"/>
  <c r="S204"/>
  <c r="S205"/>
  <c r="S206"/>
  <c r="S207"/>
  <c r="S208"/>
  <c r="S209"/>
  <c r="S210"/>
  <c r="S211"/>
  <c r="F25" s="1"/>
  <c r="S212"/>
  <c r="S213"/>
  <c r="S214"/>
  <c r="S215"/>
  <c r="S216"/>
  <c r="S217"/>
  <c r="S218"/>
  <c r="S219"/>
  <c r="S220"/>
  <c r="S221"/>
  <c r="S222"/>
  <c r="S223"/>
  <c r="S224"/>
  <c r="S225"/>
  <c r="S226"/>
  <c r="S227"/>
  <c r="S228"/>
  <c r="S229"/>
  <c r="S230"/>
  <c r="S231"/>
  <c r="S232"/>
  <c r="S233"/>
  <c r="S234"/>
  <c r="S235"/>
  <c r="S236"/>
  <c r="S237"/>
  <c r="S238"/>
  <c r="S239"/>
  <c r="S240"/>
  <c r="S241"/>
  <c r="S242"/>
  <c r="S243"/>
  <c r="S244"/>
  <c r="S245"/>
  <c r="S246"/>
  <c r="S247"/>
  <c r="S248"/>
  <c r="S249"/>
  <c r="S250"/>
  <c r="S251"/>
  <c r="S252"/>
  <c r="S253"/>
  <c r="S254"/>
  <c r="S255"/>
  <c r="S256"/>
  <c r="S257"/>
  <c r="S258"/>
  <c r="S259"/>
  <c r="S260"/>
  <c r="S261"/>
  <c r="S262"/>
  <c r="S263"/>
  <c r="S264"/>
  <c r="S265"/>
  <c r="S266"/>
  <c r="S267"/>
  <c r="S268"/>
  <c r="S269"/>
  <c r="S270"/>
  <c r="S271"/>
  <c r="S272"/>
  <c r="S273"/>
  <c r="S274"/>
  <c r="S275"/>
  <c r="S276"/>
  <c r="S277"/>
  <c r="S278"/>
  <c r="S279"/>
  <c r="S280"/>
  <c r="S281"/>
  <c r="S282"/>
  <c r="S283"/>
  <c r="S284"/>
  <c r="S285"/>
  <c r="S286"/>
  <c r="S287"/>
  <c r="S288"/>
  <c r="S289"/>
  <c r="S290"/>
  <c r="S291"/>
  <c r="S292"/>
  <c r="S293"/>
  <c r="S294"/>
  <c r="S295"/>
  <c r="S296"/>
  <c r="S297"/>
  <c r="S298"/>
  <c r="S299"/>
  <c r="S300"/>
  <c r="S301"/>
  <c r="S302"/>
  <c r="S303"/>
  <c r="S304"/>
  <c r="S305"/>
  <c r="S306"/>
  <c r="S307"/>
  <c r="S308"/>
  <c r="S309"/>
  <c r="S310"/>
  <c r="S311"/>
  <c r="S312"/>
  <c r="S313"/>
  <c r="S314"/>
  <c r="S315"/>
  <c r="S316"/>
  <c r="S317"/>
  <c r="S318"/>
  <c r="S319"/>
  <c r="S320"/>
  <c r="S321"/>
  <c r="S322"/>
  <c r="S323"/>
  <c r="S324"/>
  <c r="S325"/>
  <c r="S326"/>
  <c r="S327"/>
  <c r="S328"/>
  <c r="S329"/>
  <c r="S330"/>
  <c r="S331"/>
  <c r="S332"/>
  <c r="S333"/>
  <c r="S334"/>
  <c r="S335"/>
  <c r="S336"/>
  <c r="S337"/>
  <c r="S338"/>
  <c r="S339"/>
  <c r="S340"/>
  <c r="S341"/>
  <c r="S342"/>
  <c r="S343"/>
  <c r="S344"/>
  <c r="S345"/>
  <c r="S346"/>
  <c r="S347"/>
  <c r="S348"/>
  <c r="S349"/>
  <c r="S350"/>
  <c r="S351"/>
  <c r="S352"/>
  <c r="S353"/>
  <c r="S354"/>
  <c r="S355"/>
  <c r="S356"/>
  <c r="S357"/>
  <c r="S358"/>
  <c r="S359"/>
  <c r="S360"/>
  <c r="S361"/>
  <c r="S362"/>
  <c r="S363"/>
  <c r="S364"/>
  <c r="S365"/>
  <c r="S366"/>
  <c r="S367"/>
  <c r="S368"/>
  <c r="S369"/>
  <c r="S370"/>
  <c r="S371"/>
  <c r="S372"/>
  <c r="S373"/>
  <c r="S374"/>
  <c r="S375"/>
  <c r="S7"/>
  <c r="C172" i="12"/>
  <c r="C69"/>
  <c r="C68"/>
  <c r="F24" i="15" l="1"/>
  <c r="F97" s="1"/>
  <c r="H24"/>
  <c r="H97" s="1"/>
  <c r="E24"/>
  <c r="G24"/>
  <c r="G97" s="1"/>
  <c r="F23"/>
  <c r="H23"/>
  <c r="E23"/>
  <c r="G23"/>
  <c r="F26"/>
  <c r="H26"/>
  <c r="E26"/>
  <c r="G26"/>
  <c r="Z10" i="19"/>
  <c r="Z11"/>
  <c r="D97" i="15"/>
  <c r="D99" s="1"/>
  <c r="D101" s="1"/>
  <c r="D102" s="1"/>
  <c r="D104" s="1"/>
  <c r="E96" s="1"/>
  <c r="G86"/>
  <c r="D86"/>
  <c r="H86"/>
  <c r="F22" i="17"/>
  <c r="F6"/>
  <c r="F12"/>
  <c r="F14"/>
  <c r="F29"/>
  <c r="F7"/>
  <c r="F21"/>
  <c r="F9"/>
  <c r="F23"/>
  <c r="G56" i="15"/>
  <c r="D27" i="17"/>
  <c r="F32"/>
  <c r="F10"/>
  <c r="E27"/>
  <c r="D19"/>
  <c r="E19"/>
  <c r="N369" i="16"/>
  <c r="N368"/>
  <c r="O367"/>
  <c r="D84" i="6"/>
  <c r="D81"/>
  <c r="D80"/>
  <c r="D79"/>
  <c r="D78"/>
  <c r="D88"/>
  <c r="D87"/>
  <c r="D86"/>
  <c r="E85" s="1"/>
  <c r="D85"/>
  <c r="D83"/>
  <c r="E83" s="1"/>
  <c r="O312" i="16"/>
  <c r="O143" s="1"/>
  <c r="AD143" s="1"/>
  <c r="O311"/>
  <c r="O142" s="1"/>
  <c r="AD142" s="1"/>
  <c r="O310"/>
  <c r="O141" s="1"/>
  <c r="AD141" s="1"/>
  <c r="O309"/>
  <c r="O140" s="1"/>
  <c r="AD140" s="1"/>
  <c r="O308"/>
  <c r="O139" s="1"/>
  <c r="AD139" s="1"/>
  <c r="O307"/>
  <c r="O138" s="1"/>
  <c r="AD138" s="1"/>
  <c r="O314"/>
  <c r="O145" s="1"/>
  <c r="AD145" s="1"/>
  <c r="O305"/>
  <c r="O136" s="1"/>
  <c r="AD136" s="1"/>
  <c r="O304"/>
  <c r="O135" s="1"/>
  <c r="AD135" s="1"/>
  <c r="O303"/>
  <c r="O134" s="1"/>
  <c r="AD134" s="1"/>
  <c r="O301"/>
  <c r="O132" s="1"/>
  <c r="AD132" s="1"/>
  <c r="O298"/>
  <c r="O129" s="1"/>
  <c r="AD129" s="1"/>
  <c r="O299"/>
  <c r="O130" s="1"/>
  <c r="AD130" s="1"/>
  <c r="O297"/>
  <c r="O128" s="1"/>
  <c r="AD128" s="1"/>
  <c r="O296"/>
  <c r="O127" s="1"/>
  <c r="AD127" s="1"/>
  <c r="O294"/>
  <c r="O125" s="1"/>
  <c r="AD125" s="1"/>
  <c r="O295"/>
  <c r="O126" s="1"/>
  <c r="AD126" s="1"/>
  <c r="O293"/>
  <c r="O124" s="1"/>
  <c r="AD124" s="1"/>
  <c r="O275"/>
  <c r="O107" s="1"/>
  <c r="AD107" s="1"/>
  <c r="O274"/>
  <c r="O106" s="1"/>
  <c r="AD106" s="1"/>
  <c r="O271"/>
  <c r="O103" s="1"/>
  <c r="AD103" s="1"/>
  <c r="O272"/>
  <c r="O104" s="1"/>
  <c r="AD104" s="1"/>
  <c r="O270"/>
  <c r="O102" s="1"/>
  <c r="AD102" s="1"/>
  <c r="O269"/>
  <c r="O101" s="1"/>
  <c r="AD101" s="1"/>
  <c r="O268"/>
  <c r="O100" s="1"/>
  <c r="AD100" s="1"/>
  <c r="O290"/>
  <c r="O121" s="1"/>
  <c r="AD121" s="1"/>
  <c r="O289"/>
  <c r="O120" s="1"/>
  <c r="AD120" s="1"/>
  <c r="O288"/>
  <c r="O119" s="1"/>
  <c r="AD119" s="1"/>
  <c r="O287"/>
  <c r="O118" s="1"/>
  <c r="AD118" s="1"/>
  <c r="O285"/>
  <c r="O116" s="1"/>
  <c r="AD116" s="1"/>
  <c r="O273"/>
  <c r="O105" s="1"/>
  <c r="AD105" s="1"/>
  <c r="F86" i="15" l="1"/>
  <c r="D88"/>
  <c r="D90" s="1"/>
  <c r="D91" s="1"/>
  <c r="D93" s="1"/>
  <c r="O198" i="16"/>
  <c r="AD198" s="1"/>
  <c r="N367"/>
  <c r="N371" s="1"/>
  <c r="E19" s="1"/>
  <c r="Z17" i="19" s="1"/>
  <c r="AD367" i="16"/>
  <c r="N273"/>
  <c r="AD273"/>
  <c r="N289"/>
  <c r="AD289"/>
  <c r="N285"/>
  <c r="AD285"/>
  <c r="N288"/>
  <c r="AD288"/>
  <c r="N269"/>
  <c r="AD269"/>
  <c r="N272"/>
  <c r="AD272"/>
  <c r="N287"/>
  <c r="AD287"/>
  <c r="N268"/>
  <c r="AD268"/>
  <c r="N270"/>
  <c r="AD270"/>
  <c r="N271"/>
  <c r="AD271"/>
  <c r="N275"/>
  <c r="AD275"/>
  <c r="N314"/>
  <c r="AD314"/>
  <c r="N308"/>
  <c r="AD308"/>
  <c r="N310"/>
  <c r="AD310"/>
  <c r="N312"/>
  <c r="AD312"/>
  <c r="N307"/>
  <c r="AD307"/>
  <c r="N311"/>
  <c r="AD311"/>
  <c r="N309"/>
  <c r="AD309"/>
  <c r="N305"/>
  <c r="AD305"/>
  <c r="N304"/>
  <c r="AD304"/>
  <c r="N303"/>
  <c r="AD303"/>
  <c r="N301"/>
  <c r="AD301"/>
  <c r="N299"/>
  <c r="AD299"/>
  <c r="N298"/>
  <c r="AD298"/>
  <c r="N297"/>
  <c r="AD297"/>
  <c r="N296"/>
  <c r="AD296"/>
  <c r="N295"/>
  <c r="AD295"/>
  <c r="N294"/>
  <c r="AD294"/>
  <c r="N293"/>
  <c r="AD293"/>
  <c r="N290"/>
  <c r="AD290"/>
  <c r="N274"/>
  <c r="AD274"/>
  <c r="F27" i="17"/>
  <c r="F19"/>
  <c r="E31"/>
  <c r="D31"/>
  <c r="H56" i="15"/>
  <c r="O230" i="16"/>
  <c r="E85" i="15" l="1"/>
  <c r="D30"/>
  <c r="G146" i="13"/>
  <c r="N315" i="16"/>
  <c r="AD230"/>
  <c r="O62"/>
  <c r="AD62" s="1"/>
  <c r="F31" i="17"/>
  <c r="D119" i="15"/>
  <c r="N230" i="16"/>
  <c r="N264" s="1"/>
  <c r="F30" i="15" l="1"/>
  <c r="H30"/>
  <c r="E30"/>
  <c r="G30"/>
  <c r="D121"/>
  <c r="D123" s="1"/>
  <c r="D159"/>
  <c r="D161" s="1"/>
  <c r="E158" s="1"/>
  <c r="D129"/>
  <c r="I128" i="13"/>
  <c r="J128" s="1"/>
  <c r="K128" s="1"/>
  <c r="L128" s="1"/>
  <c r="M128" s="1"/>
  <c r="N128" s="1"/>
  <c r="O128" s="1"/>
  <c r="P128" s="1"/>
  <c r="Q128" s="1"/>
  <c r="R128" s="1"/>
  <c r="S128" s="1"/>
  <c r="J129"/>
  <c r="K129" s="1"/>
  <c r="L129" s="1"/>
  <c r="M129" s="1"/>
  <c r="N129" s="1"/>
  <c r="O129" s="1"/>
  <c r="P129" s="1"/>
  <c r="Q129" s="1"/>
  <c r="R129" s="1"/>
  <c r="S129" s="1"/>
  <c r="G129"/>
  <c r="G132"/>
  <c r="G128"/>
  <c r="D131" i="15" l="1"/>
  <c r="D133" s="1"/>
  <c r="D134" s="1"/>
  <c r="D135" s="1"/>
  <c r="E118"/>
  <c r="D163"/>
  <c r="D164" s="1"/>
  <c r="D165" s="1"/>
  <c r="D124"/>
  <c r="D125" s="1"/>
  <c r="E128"/>
  <c r="F129"/>
  <c r="F159"/>
  <c r="F119"/>
  <c r="D20" i="13"/>
  <c r="D21"/>
  <c r="G122" s="1"/>
  <c r="G64" s="1"/>
  <c r="D22"/>
  <c r="G113" s="1"/>
  <c r="G55" s="1"/>
  <c r="D23"/>
  <c r="G114" s="1"/>
  <c r="D24"/>
  <c r="G137" s="1"/>
  <c r="G79" s="1"/>
  <c r="D25"/>
  <c r="G138" s="1"/>
  <c r="G80" s="1"/>
  <c r="D26"/>
  <c r="G139" s="1"/>
  <c r="G81" s="1"/>
  <c r="D27"/>
  <c r="D29"/>
  <c r="D30"/>
  <c r="D31"/>
  <c r="G155"/>
  <c r="P97" s="1"/>
  <c r="G156"/>
  <c r="R98" s="1"/>
  <c r="G154"/>
  <c r="R96" s="1"/>
  <c r="F30" i="14"/>
  <c r="G30" s="1"/>
  <c r="H30" s="1"/>
  <c r="I30" s="1"/>
  <c r="F31"/>
  <c r="G31" s="1"/>
  <c r="H31" s="1"/>
  <c r="I31" s="1"/>
  <c r="F32"/>
  <c r="G32" s="1"/>
  <c r="F33"/>
  <c r="G33" s="1"/>
  <c r="H33" s="1"/>
  <c r="I33" s="1"/>
  <c r="F28"/>
  <c r="G28" s="1"/>
  <c r="H28" s="1"/>
  <c r="I28" s="1"/>
  <c r="F42"/>
  <c r="F43"/>
  <c r="G43" s="1"/>
  <c r="H43" s="1"/>
  <c r="I43" s="1"/>
  <c r="F41"/>
  <c r="G41" s="1"/>
  <c r="H41" s="1"/>
  <c r="I41" s="1"/>
  <c r="F36"/>
  <c r="G36" s="1"/>
  <c r="H36" s="1"/>
  <c r="I36" s="1"/>
  <c r="H103" s="1"/>
  <c r="F37"/>
  <c r="G37" s="1"/>
  <c r="F104" s="1"/>
  <c r="F38"/>
  <c r="G38" s="1"/>
  <c r="H38" s="1"/>
  <c r="I38" s="1"/>
  <c r="F39"/>
  <c r="G39" s="1"/>
  <c r="H39" s="1"/>
  <c r="I39" s="1"/>
  <c r="F35"/>
  <c r="G35" s="1"/>
  <c r="H35" s="1"/>
  <c r="I35" s="1"/>
  <c r="H102" s="1"/>
  <c r="G116" i="13"/>
  <c r="R58" s="1"/>
  <c r="G115"/>
  <c r="S57" s="1"/>
  <c r="G111"/>
  <c r="R53" s="1"/>
  <c r="G112"/>
  <c r="R54" s="1"/>
  <c r="G110"/>
  <c r="R52" s="1"/>
  <c r="B42" i="14"/>
  <c r="B41"/>
  <c r="B38"/>
  <c r="B36"/>
  <c r="B37"/>
  <c r="B35"/>
  <c r="I129"/>
  <c r="I128"/>
  <c r="G20" i="4"/>
  <c r="H20" s="1"/>
  <c r="I20" s="1"/>
  <c r="F23" i="14"/>
  <c r="F24"/>
  <c r="F25"/>
  <c r="G25" s="1"/>
  <c r="H25" s="1"/>
  <c r="I25" s="1"/>
  <c r="F26"/>
  <c r="G26" s="1"/>
  <c r="H26" s="1"/>
  <c r="I26" s="1"/>
  <c r="F27"/>
  <c r="G27" s="1"/>
  <c r="H27" s="1"/>
  <c r="I27" s="1"/>
  <c r="F21"/>
  <c r="G21" s="1"/>
  <c r="H21" s="1"/>
  <c r="I21" s="1"/>
  <c r="F22"/>
  <c r="G22" s="1"/>
  <c r="I84"/>
  <c r="I83"/>
  <c r="S159" i="13"/>
  <c r="R159"/>
  <c r="Q159"/>
  <c r="P159"/>
  <c r="O159"/>
  <c r="N159"/>
  <c r="M159"/>
  <c r="L159"/>
  <c r="K159"/>
  <c r="J159"/>
  <c r="I159"/>
  <c r="H159"/>
  <c r="E157"/>
  <c r="E99" s="1"/>
  <c r="E156"/>
  <c r="E155"/>
  <c r="E97" s="1"/>
  <c r="E154"/>
  <c r="E96" s="1"/>
  <c r="E153"/>
  <c r="E95" s="1"/>
  <c r="S150"/>
  <c r="R150"/>
  <c r="Q150"/>
  <c r="P150"/>
  <c r="O150"/>
  <c r="N150"/>
  <c r="M150"/>
  <c r="L150"/>
  <c r="K150"/>
  <c r="J150"/>
  <c r="I150"/>
  <c r="H150"/>
  <c r="D147"/>
  <c r="D93" i="14" s="1"/>
  <c r="E86" i="13"/>
  <c r="S134"/>
  <c r="R134"/>
  <c r="Q134"/>
  <c r="P134"/>
  <c r="O134"/>
  <c r="N134"/>
  <c r="M134"/>
  <c r="L134"/>
  <c r="K134"/>
  <c r="J134"/>
  <c r="I134"/>
  <c r="H134"/>
  <c r="E132"/>
  <c r="D132" s="1"/>
  <c r="E131"/>
  <c r="D131" s="1"/>
  <c r="E130"/>
  <c r="D130" s="1"/>
  <c r="E129"/>
  <c r="D129" s="1"/>
  <c r="E128"/>
  <c r="D128" s="1"/>
  <c r="E123"/>
  <c r="E63"/>
  <c r="E117"/>
  <c r="E59" s="1"/>
  <c r="E116"/>
  <c r="E115"/>
  <c r="E112"/>
  <c r="E54" s="1"/>
  <c r="E111"/>
  <c r="E110"/>
  <c r="S89"/>
  <c r="R89"/>
  <c r="Q89"/>
  <c r="P89"/>
  <c r="O89"/>
  <c r="N89"/>
  <c r="M89"/>
  <c r="L89"/>
  <c r="K89"/>
  <c r="J89"/>
  <c r="I89"/>
  <c r="H89"/>
  <c r="G89"/>
  <c r="S88"/>
  <c r="R88"/>
  <c r="Q88"/>
  <c r="P88"/>
  <c r="O88"/>
  <c r="N88"/>
  <c r="M88"/>
  <c r="L88"/>
  <c r="K88"/>
  <c r="J88"/>
  <c r="I88"/>
  <c r="H88"/>
  <c r="G88"/>
  <c r="S86"/>
  <c r="R86"/>
  <c r="Q86"/>
  <c r="P86"/>
  <c r="O86"/>
  <c r="N86"/>
  <c r="M86"/>
  <c r="L86"/>
  <c r="K86"/>
  <c r="J86"/>
  <c r="I86"/>
  <c r="H86"/>
  <c r="G86"/>
  <c r="F80"/>
  <c r="F79"/>
  <c r="S74"/>
  <c r="R74"/>
  <c r="Q74"/>
  <c r="P74"/>
  <c r="O74"/>
  <c r="N74"/>
  <c r="M74"/>
  <c r="L74"/>
  <c r="K74"/>
  <c r="J74"/>
  <c r="I74"/>
  <c r="H74"/>
  <c r="G74"/>
  <c r="S73"/>
  <c r="R73"/>
  <c r="Q73"/>
  <c r="P73"/>
  <c r="O73"/>
  <c r="N73"/>
  <c r="M73"/>
  <c r="L73"/>
  <c r="K73"/>
  <c r="J73"/>
  <c r="I73"/>
  <c r="H73"/>
  <c r="G73"/>
  <c r="S72"/>
  <c r="R72"/>
  <c r="Q72"/>
  <c r="P72"/>
  <c r="O72"/>
  <c r="N72"/>
  <c r="M72"/>
  <c r="L72"/>
  <c r="K72"/>
  <c r="J72"/>
  <c r="I72"/>
  <c r="H72"/>
  <c r="G72"/>
  <c r="S71"/>
  <c r="R71"/>
  <c r="Q71"/>
  <c r="P71"/>
  <c r="O71"/>
  <c r="N71"/>
  <c r="M71"/>
  <c r="L71"/>
  <c r="K71"/>
  <c r="J71"/>
  <c r="I71"/>
  <c r="H71"/>
  <c r="G71"/>
  <c r="S70"/>
  <c r="R70"/>
  <c r="Q70"/>
  <c r="P70"/>
  <c r="O70"/>
  <c r="N70"/>
  <c r="M70"/>
  <c r="L70"/>
  <c r="K70"/>
  <c r="J70"/>
  <c r="I70"/>
  <c r="H70"/>
  <c r="G70"/>
  <c r="E58"/>
  <c r="E52"/>
  <c r="F197" i="12"/>
  <c r="F94" s="1"/>
  <c r="F199"/>
  <c r="F96" s="1"/>
  <c r="I65" i="6"/>
  <c r="K65"/>
  <c r="L65"/>
  <c r="I67"/>
  <c r="K67"/>
  <c r="L67"/>
  <c r="G67"/>
  <c r="M67" s="1"/>
  <c r="G65"/>
  <c r="F139" i="12"/>
  <c r="F140"/>
  <c r="F142"/>
  <c r="F143"/>
  <c r="F144"/>
  <c r="F146"/>
  <c r="F147"/>
  <c r="F148"/>
  <c r="F150"/>
  <c r="F151"/>
  <c r="F152"/>
  <c r="F153"/>
  <c r="F154"/>
  <c r="F155"/>
  <c r="F138"/>
  <c r="F87"/>
  <c r="F88"/>
  <c r="F89"/>
  <c r="F92"/>
  <c r="F104"/>
  <c r="F110"/>
  <c r="F115"/>
  <c r="F116"/>
  <c r="F117"/>
  <c r="F118"/>
  <c r="F119"/>
  <c r="F122"/>
  <c r="F128"/>
  <c r="F86"/>
  <c r="F79"/>
  <c r="F75"/>
  <c r="F81" s="1"/>
  <c r="F69"/>
  <c r="F68"/>
  <c r="F61"/>
  <c r="F62"/>
  <c r="F60"/>
  <c r="J61"/>
  <c r="K61"/>
  <c r="L61"/>
  <c r="M61"/>
  <c r="N61"/>
  <c r="O61"/>
  <c r="J62"/>
  <c r="K62"/>
  <c r="L62"/>
  <c r="M62"/>
  <c r="N62"/>
  <c r="O62"/>
  <c r="K60"/>
  <c r="L60"/>
  <c r="M60"/>
  <c r="M63" s="1"/>
  <c r="G22" i="19" s="1"/>
  <c r="G30" s="1"/>
  <c r="G35" s="1"/>
  <c r="N60" i="12"/>
  <c r="O60"/>
  <c r="J60"/>
  <c r="I72" i="6"/>
  <c r="K72"/>
  <c r="L72"/>
  <c r="G72"/>
  <c r="M65"/>
  <c r="M66"/>
  <c r="L60"/>
  <c r="K60"/>
  <c r="J60"/>
  <c r="I60"/>
  <c r="H60"/>
  <c r="G60"/>
  <c r="M59"/>
  <c r="M58"/>
  <c r="M57"/>
  <c r="M56"/>
  <c r="M55"/>
  <c r="M54"/>
  <c r="M53"/>
  <c r="M52"/>
  <c r="M51"/>
  <c r="E155" i="12"/>
  <c r="E154"/>
  <c r="E153"/>
  <c r="E152"/>
  <c r="E151"/>
  <c r="E150"/>
  <c r="E148"/>
  <c r="E147"/>
  <c r="E144"/>
  <c r="E143"/>
  <c r="E140"/>
  <c r="E139"/>
  <c r="E131"/>
  <c r="E130"/>
  <c r="E129"/>
  <c r="E128"/>
  <c r="E127"/>
  <c r="E125"/>
  <c r="E124"/>
  <c r="E123"/>
  <c r="E122"/>
  <c r="E121"/>
  <c r="E119"/>
  <c r="E118"/>
  <c r="E117"/>
  <c r="E116"/>
  <c r="E115"/>
  <c r="E113"/>
  <c r="E112"/>
  <c r="E111"/>
  <c r="E110"/>
  <c r="E109"/>
  <c r="E107"/>
  <c r="E106"/>
  <c r="E105"/>
  <c r="E104"/>
  <c r="E103"/>
  <c r="E100"/>
  <c r="E99"/>
  <c r="E98"/>
  <c r="E97"/>
  <c r="E96"/>
  <c r="E95"/>
  <c r="E94"/>
  <c r="E93"/>
  <c r="E92"/>
  <c r="E90"/>
  <c r="E89"/>
  <c r="E88"/>
  <c r="E87"/>
  <c r="E86"/>
  <c r="F82"/>
  <c r="B82"/>
  <c r="E80"/>
  <c r="E79"/>
  <c r="E77"/>
  <c r="E76"/>
  <c r="E75"/>
  <c r="E69"/>
  <c r="E68"/>
  <c r="K53" i="13" l="1"/>
  <c r="P96"/>
  <c r="O63" i="12"/>
  <c r="I22" i="19" s="1"/>
  <c r="I30" s="1"/>
  <c r="I35" s="1"/>
  <c r="K63" i="12"/>
  <c r="E22" i="19" s="1"/>
  <c r="E30" s="1"/>
  <c r="E35" s="1"/>
  <c r="N63" i="12"/>
  <c r="H22" i="19" s="1"/>
  <c r="H30" s="1"/>
  <c r="H35" s="1"/>
  <c r="F63" i="12"/>
  <c r="J63"/>
  <c r="D22" i="19" s="1"/>
  <c r="D30" s="1"/>
  <c r="D35" s="1"/>
  <c r="L63" i="12"/>
  <c r="F22" i="19" s="1"/>
  <c r="F30" s="1"/>
  <c r="F35" s="1"/>
  <c r="M60" i="6"/>
  <c r="M72"/>
  <c r="F132" i="12"/>
  <c r="N97" i="13"/>
  <c r="F71" i="12"/>
  <c r="E73" i="13"/>
  <c r="E87"/>
  <c r="D146"/>
  <c r="D92" i="14" s="1"/>
  <c r="D144" i="13"/>
  <c r="D90" i="14" s="1"/>
  <c r="E90" i="13"/>
  <c r="M54"/>
  <c r="L96"/>
  <c r="J97"/>
  <c r="R97"/>
  <c r="G159" i="15"/>
  <c r="G42" i="14"/>
  <c r="H42" s="1"/>
  <c r="I42" s="1"/>
  <c r="I52" i="13"/>
  <c r="H57"/>
  <c r="H96"/>
  <c r="S58"/>
  <c r="Q52"/>
  <c r="S53"/>
  <c r="K58"/>
  <c r="M98"/>
  <c r="M52"/>
  <c r="G53"/>
  <c r="O53"/>
  <c r="G58"/>
  <c r="O58"/>
  <c r="I98"/>
  <c r="Q98"/>
  <c r="D156"/>
  <c r="D104" i="14" s="1"/>
  <c r="I54" i="13"/>
  <c r="Q54"/>
  <c r="P57"/>
  <c r="J96"/>
  <c r="N96"/>
  <c r="H97"/>
  <c r="L97"/>
  <c r="D115"/>
  <c r="D64" i="14" s="1"/>
  <c r="G52" i="13"/>
  <c r="K52"/>
  <c r="O52"/>
  <c r="S52"/>
  <c r="I53"/>
  <c r="M53"/>
  <c r="Q53"/>
  <c r="I58"/>
  <c r="M58"/>
  <c r="Q58"/>
  <c r="G98"/>
  <c r="K98"/>
  <c r="O98"/>
  <c r="S98"/>
  <c r="D111"/>
  <c r="D60" i="14" s="1"/>
  <c r="H76" i="13"/>
  <c r="M25" i="19" s="1"/>
  <c r="J76" i="13"/>
  <c r="O25" i="19" s="1"/>
  <c r="L76" i="13"/>
  <c r="Q25" i="19" s="1"/>
  <c r="N76" i="13"/>
  <c r="S25" i="19" s="1"/>
  <c r="P76" i="13"/>
  <c r="U25" i="19" s="1"/>
  <c r="R76" i="13"/>
  <c r="W25" i="19" s="1"/>
  <c r="D71" i="13"/>
  <c r="E53"/>
  <c r="E70"/>
  <c r="E72"/>
  <c r="D73"/>
  <c r="E74"/>
  <c r="D74"/>
  <c r="E89"/>
  <c r="D89"/>
  <c r="E98"/>
  <c r="I76"/>
  <c r="N25" i="19" s="1"/>
  <c r="K76" i="13"/>
  <c r="P25" i="19" s="1"/>
  <c r="M76" i="13"/>
  <c r="R25" i="19" s="1"/>
  <c r="O76" i="13"/>
  <c r="T25" i="19" s="1"/>
  <c r="Q76" i="13"/>
  <c r="V25" i="19" s="1"/>
  <c r="S76" i="13"/>
  <c r="X25" i="19" s="1"/>
  <c r="E71" i="13"/>
  <c r="D72"/>
  <c r="E88"/>
  <c r="D88"/>
  <c r="D134"/>
  <c r="D154"/>
  <c r="D102" i="14" s="1"/>
  <c r="D155" i="13"/>
  <c r="D103" i="14" s="1"/>
  <c r="G54" i="13"/>
  <c r="K54"/>
  <c r="O54"/>
  <c r="S54"/>
  <c r="L57"/>
  <c r="G96"/>
  <c r="I96"/>
  <c r="K96"/>
  <c r="M96"/>
  <c r="O96"/>
  <c r="Q96"/>
  <c r="S96"/>
  <c r="G97"/>
  <c r="I97"/>
  <c r="K97"/>
  <c r="M97"/>
  <c r="O97"/>
  <c r="Q97"/>
  <c r="S97"/>
  <c r="E57"/>
  <c r="H32" i="14"/>
  <c r="E102"/>
  <c r="E103"/>
  <c r="G102"/>
  <c r="F103"/>
  <c r="E104"/>
  <c r="F102"/>
  <c r="G103"/>
  <c r="I32"/>
  <c r="H54" i="13"/>
  <c r="J54"/>
  <c r="L54"/>
  <c r="N54"/>
  <c r="P54"/>
  <c r="J57"/>
  <c r="N57"/>
  <c r="R57"/>
  <c r="H98"/>
  <c r="J98"/>
  <c r="L98"/>
  <c r="N98"/>
  <c r="P98"/>
  <c r="D112"/>
  <c r="D61" i="14" s="1"/>
  <c r="H64"/>
  <c r="H37"/>
  <c r="G104" s="1"/>
  <c r="G61"/>
  <c r="E61"/>
  <c r="E64"/>
  <c r="F59"/>
  <c r="F60"/>
  <c r="F65"/>
  <c r="G60"/>
  <c r="G65"/>
  <c r="H60"/>
  <c r="H65"/>
  <c r="H52" i="13"/>
  <c r="J52"/>
  <c r="L52"/>
  <c r="N52"/>
  <c r="P52"/>
  <c r="H53"/>
  <c r="J53"/>
  <c r="L53"/>
  <c r="N53"/>
  <c r="P53"/>
  <c r="H58"/>
  <c r="J58"/>
  <c r="L58"/>
  <c r="N58"/>
  <c r="P58"/>
  <c r="D110"/>
  <c r="D59" i="14" s="1"/>
  <c r="D116" i="13"/>
  <c r="D65" i="14" s="1"/>
  <c r="E59"/>
  <c r="E60"/>
  <c r="E65"/>
  <c r="F61"/>
  <c r="F64"/>
  <c r="G59"/>
  <c r="G64"/>
  <c r="H59"/>
  <c r="G57" i="13"/>
  <c r="I57"/>
  <c r="K57"/>
  <c r="M57"/>
  <c r="O57"/>
  <c r="Q57"/>
  <c r="G24" i="14"/>
  <c r="G23"/>
  <c r="H22"/>
  <c r="E65" i="13"/>
  <c r="H60" i="12"/>
  <c r="L31" i="11" s="1"/>
  <c r="H62" i="12"/>
  <c r="L33" i="11" s="1"/>
  <c r="H61" i="12"/>
  <c r="L32" i="11" s="1"/>
  <c r="G56" i="13"/>
  <c r="D70"/>
  <c r="D86"/>
  <c r="Y25" i="19" l="1"/>
  <c r="H129" i="15"/>
  <c r="H159"/>
  <c r="H119"/>
  <c r="D97" i="13"/>
  <c r="D54"/>
  <c r="D96"/>
  <c r="D98"/>
  <c r="I37" i="14"/>
  <c r="H104" s="1"/>
  <c r="H61"/>
  <c r="D58" i="13"/>
  <c r="D53"/>
  <c r="D52"/>
  <c r="D57"/>
  <c r="I22" i="14"/>
  <c r="H23"/>
  <c r="H24"/>
  <c r="D76" i="13"/>
  <c r="D10"/>
  <c r="E10" i="14" s="1"/>
  <c r="E41" i="7" s="1"/>
  <c r="H63" i="12"/>
  <c r="J158" s="1"/>
  <c r="F262"/>
  <c r="F261"/>
  <c r="F260"/>
  <c r="F259"/>
  <c r="L258"/>
  <c r="M258" s="1"/>
  <c r="N258" s="1"/>
  <c r="O258" s="1"/>
  <c r="R258" s="1"/>
  <c r="S258" s="1"/>
  <c r="T258" s="1"/>
  <c r="U258" s="1"/>
  <c r="V258" s="1"/>
  <c r="W258" s="1"/>
  <c r="E258"/>
  <c r="L257"/>
  <c r="M257" s="1"/>
  <c r="N257" s="1"/>
  <c r="P257" s="1"/>
  <c r="T257" s="1"/>
  <c r="U257" s="1"/>
  <c r="V257" s="1"/>
  <c r="W257" s="1"/>
  <c r="E257"/>
  <c r="L256"/>
  <c r="M256" s="1"/>
  <c r="N256" s="1"/>
  <c r="P256" s="1"/>
  <c r="Q256" s="1"/>
  <c r="R256" s="1"/>
  <c r="T256" s="1"/>
  <c r="U256" s="1"/>
  <c r="V256" s="1"/>
  <c r="W256" s="1"/>
  <c r="E256"/>
  <c r="E255"/>
  <c r="L254"/>
  <c r="M254" s="1"/>
  <c r="N254" s="1"/>
  <c r="O254" s="1"/>
  <c r="P254" s="1"/>
  <c r="R254" s="1"/>
  <c r="S254" s="1"/>
  <c r="T254" s="1"/>
  <c r="U254" s="1"/>
  <c r="V254" s="1"/>
  <c r="W254" s="1"/>
  <c r="E254"/>
  <c r="E253"/>
  <c r="M251"/>
  <c r="N251" s="1"/>
  <c r="O251" s="1"/>
  <c r="P251" s="1"/>
  <c r="Q251" s="1"/>
  <c r="R251" s="1"/>
  <c r="S251" s="1"/>
  <c r="T251" s="1"/>
  <c r="U251" s="1"/>
  <c r="E251"/>
  <c r="L250"/>
  <c r="M250" s="1"/>
  <c r="N250" s="1"/>
  <c r="O250" s="1"/>
  <c r="Q250" s="1"/>
  <c r="R250" s="1"/>
  <c r="S250" s="1"/>
  <c r="T250" s="1"/>
  <c r="U250" s="1"/>
  <c r="V250" s="1"/>
  <c r="W250" s="1"/>
  <c r="E250"/>
  <c r="K249"/>
  <c r="L249" s="1"/>
  <c r="M249" s="1"/>
  <c r="N249" s="1"/>
  <c r="O249" s="1"/>
  <c r="P249" s="1"/>
  <c r="Q249" s="1"/>
  <c r="R249" s="1"/>
  <c r="S249" s="1"/>
  <c r="T249" s="1"/>
  <c r="U249" s="1"/>
  <c r="V249" s="1"/>
  <c r="W249" s="1"/>
  <c r="L247"/>
  <c r="M247" s="1"/>
  <c r="N247" s="1"/>
  <c r="P247" s="1"/>
  <c r="Q247" s="1"/>
  <c r="R247" s="1"/>
  <c r="T247" s="1"/>
  <c r="U247" s="1"/>
  <c r="V247" s="1"/>
  <c r="W247" s="1"/>
  <c r="E247"/>
  <c r="E246"/>
  <c r="K245"/>
  <c r="L245" s="1"/>
  <c r="M245" s="1"/>
  <c r="N245" s="1"/>
  <c r="O245" s="1"/>
  <c r="P245" s="1"/>
  <c r="Q245" s="1"/>
  <c r="R245" s="1"/>
  <c r="S245" s="1"/>
  <c r="T245" s="1"/>
  <c r="U245" s="1"/>
  <c r="V245" s="1"/>
  <c r="W245" s="1"/>
  <c r="L243"/>
  <c r="M243" s="1"/>
  <c r="O243" s="1"/>
  <c r="P243" s="1"/>
  <c r="Q243" s="1"/>
  <c r="S243" s="1"/>
  <c r="T243" s="1"/>
  <c r="U243" s="1"/>
  <c r="V243" s="1"/>
  <c r="W243" s="1"/>
  <c r="E243"/>
  <c r="L242"/>
  <c r="M242" s="1"/>
  <c r="P242" s="1"/>
  <c r="E242"/>
  <c r="K241"/>
  <c r="L241" s="1"/>
  <c r="M241" s="1"/>
  <c r="N241" s="1"/>
  <c r="O241" s="1"/>
  <c r="P241" s="1"/>
  <c r="Q241" s="1"/>
  <c r="R241" s="1"/>
  <c r="S241" s="1"/>
  <c r="T241" s="1"/>
  <c r="U241" s="1"/>
  <c r="V241" s="1"/>
  <c r="W241" s="1"/>
  <c r="L237"/>
  <c r="M237" s="1"/>
  <c r="L236"/>
  <c r="M236" s="1"/>
  <c r="L235"/>
  <c r="M235" s="1"/>
  <c r="F235"/>
  <c r="E234"/>
  <c r="D100" i="11" s="1"/>
  <c r="E233" i="12"/>
  <c r="D99" i="11" s="1"/>
  <c r="E232" i="12"/>
  <c r="D98" i="11" s="1"/>
  <c r="K231" i="12"/>
  <c r="L231" s="1"/>
  <c r="M231" s="1"/>
  <c r="N231" s="1"/>
  <c r="O231" s="1"/>
  <c r="P231" s="1"/>
  <c r="Q231" s="1"/>
  <c r="R231" s="1"/>
  <c r="S231" s="1"/>
  <c r="T231" s="1"/>
  <c r="U231" s="1"/>
  <c r="V231" s="1"/>
  <c r="W231" s="1"/>
  <c r="E231"/>
  <c r="D97" i="11" s="1"/>
  <c r="E230" i="12"/>
  <c r="D96" i="11" s="1"/>
  <c r="E228" i="12"/>
  <c r="D94" i="11" s="1"/>
  <c r="E227" i="12"/>
  <c r="D93" i="11" s="1"/>
  <c r="E226" i="12"/>
  <c r="D92" i="11" s="1"/>
  <c r="K225" i="12"/>
  <c r="L225" s="1"/>
  <c r="M225" s="1"/>
  <c r="N225" s="1"/>
  <c r="O225" s="1"/>
  <c r="P225" s="1"/>
  <c r="Q225" s="1"/>
  <c r="R225" s="1"/>
  <c r="S225" s="1"/>
  <c r="T225" s="1"/>
  <c r="U225" s="1"/>
  <c r="V225" s="1"/>
  <c r="W225" s="1"/>
  <c r="E225"/>
  <c r="D91" i="11" s="1"/>
  <c r="E224" i="12"/>
  <c r="D90" i="11" s="1"/>
  <c r="K222" i="12"/>
  <c r="L222" s="1"/>
  <c r="M222" s="1"/>
  <c r="N222" s="1"/>
  <c r="O222" s="1"/>
  <c r="P222" s="1"/>
  <c r="Q222" s="1"/>
  <c r="R222" s="1"/>
  <c r="S222" s="1"/>
  <c r="T222" s="1"/>
  <c r="U222" s="1"/>
  <c r="V222" s="1"/>
  <c r="W222" s="1"/>
  <c r="E222"/>
  <c r="D88" i="11" s="1"/>
  <c r="K221" i="12"/>
  <c r="L221" s="1"/>
  <c r="M221" s="1"/>
  <c r="N221" s="1"/>
  <c r="O221" s="1"/>
  <c r="P221" s="1"/>
  <c r="Q221" s="1"/>
  <c r="R221" s="1"/>
  <c r="S221" s="1"/>
  <c r="T221" s="1"/>
  <c r="U221" s="1"/>
  <c r="V221" s="1"/>
  <c r="W221" s="1"/>
  <c r="E221"/>
  <c r="D87" i="11" s="1"/>
  <c r="K220" i="12"/>
  <c r="L220" s="1"/>
  <c r="M220" s="1"/>
  <c r="N220" s="1"/>
  <c r="O220" s="1"/>
  <c r="P220" s="1"/>
  <c r="Q220" s="1"/>
  <c r="R220" s="1"/>
  <c r="S220" s="1"/>
  <c r="T220" s="1"/>
  <c r="U220" s="1"/>
  <c r="V220" s="1"/>
  <c r="W220" s="1"/>
  <c r="E220"/>
  <c r="D86" i="11" s="1"/>
  <c r="L219" i="12"/>
  <c r="N219" s="1"/>
  <c r="O219" s="1"/>
  <c r="P219" s="1"/>
  <c r="Q219" s="1"/>
  <c r="R219" s="1"/>
  <c r="S219" s="1"/>
  <c r="T219" s="1"/>
  <c r="U219" s="1"/>
  <c r="V219" s="1"/>
  <c r="W219" s="1"/>
  <c r="E219"/>
  <c r="D85" i="11" s="1"/>
  <c r="K218" i="12"/>
  <c r="L218" s="1"/>
  <c r="M218" s="1"/>
  <c r="N218" s="1"/>
  <c r="O218" s="1"/>
  <c r="P218" s="1"/>
  <c r="Q218" s="1"/>
  <c r="R218" s="1"/>
  <c r="S218" s="1"/>
  <c r="T218" s="1"/>
  <c r="U218" s="1"/>
  <c r="V218" s="1"/>
  <c r="W218" s="1"/>
  <c r="E218"/>
  <c r="D84" i="11" s="1"/>
  <c r="E216" i="12"/>
  <c r="D82" i="11" s="1"/>
  <c r="E215" i="12"/>
  <c r="D81" i="11" s="1"/>
  <c r="E214" i="12"/>
  <c r="D80" i="11" s="1"/>
  <c r="K213" i="12"/>
  <c r="L213" s="1"/>
  <c r="M213" s="1"/>
  <c r="N213" s="1"/>
  <c r="O213" s="1"/>
  <c r="P213" s="1"/>
  <c r="Q213" s="1"/>
  <c r="R213" s="1"/>
  <c r="S213" s="1"/>
  <c r="T213" s="1"/>
  <c r="U213" s="1"/>
  <c r="V213" s="1"/>
  <c r="W213" s="1"/>
  <c r="E213"/>
  <c r="D79" i="11" s="1"/>
  <c r="E212" i="12"/>
  <c r="D78" i="11" s="1"/>
  <c r="E210" i="12"/>
  <c r="D76" i="11" s="1"/>
  <c r="E209" i="12"/>
  <c r="D75" i="11" s="1"/>
  <c r="E208" i="12"/>
  <c r="D74" i="11" s="1"/>
  <c r="K207" i="12"/>
  <c r="E207"/>
  <c r="D73" i="11" s="1"/>
  <c r="E206" i="12"/>
  <c r="D72" i="11" s="1"/>
  <c r="E203" i="12"/>
  <c r="E202"/>
  <c r="E201"/>
  <c r="E200"/>
  <c r="K199"/>
  <c r="E199"/>
  <c r="E198"/>
  <c r="K197"/>
  <c r="L197" s="1"/>
  <c r="M197" s="1"/>
  <c r="N197" s="1"/>
  <c r="O197" s="1"/>
  <c r="P197" s="1"/>
  <c r="Q197" s="1"/>
  <c r="R197" s="1"/>
  <c r="S197" s="1"/>
  <c r="T197" s="1"/>
  <c r="U197" s="1"/>
  <c r="V197" s="1"/>
  <c r="W197" s="1"/>
  <c r="E197"/>
  <c r="E196"/>
  <c r="K195"/>
  <c r="L195" s="1"/>
  <c r="M195" s="1"/>
  <c r="N195" s="1"/>
  <c r="O195" s="1"/>
  <c r="P195" s="1"/>
  <c r="Q195" s="1"/>
  <c r="R195" s="1"/>
  <c r="S195" s="1"/>
  <c r="T195" s="1"/>
  <c r="U195" s="1"/>
  <c r="V195" s="1"/>
  <c r="W195" s="1"/>
  <c r="E195"/>
  <c r="E193"/>
  <c r="E192"/>
  <c r="K191"/>
  <c r="L191" s="1"/>
  <c r="M191" s="1"/>
  <c r="N191" s="1"/>
  <c r="O191" s="1"/>
  <c r="P191" s="1"/>
  <c r="Q191" s="1"/>
  <c r="R191" s="1"/>
  <c r="S191" s="1"/>
  <c r="T191" s="1"/>
  <c r="U191" s="1"/>
  <c r="V191" s="1"/>
  <c r="W191" s="1"/>
  <c r="E191"/>
  <c r="K190"/>
  <c r="L190" s="1"/>
  <c r="M190" s="1"/>
  <c r="N190" s="1"/>
  <c r="O190" s="1"/>
  <c r="P190" s="1"/>
  <c r="Q190" s="1"/>
  <c r="R190" s="1"/>
  <c r="S190" s="1"/>
  <c r="T190" s="1"/>
  <c r="U190" s="1"/>
  <c r="V190" s="1"/>
  <c r="W190" s="1"/>
  <c r="E190"/>
  <c r="K189"/>
  <c r="E189"/>
  <c r="F185"/>
  <c r="F184"/>
  <c r="O183"/>
  <c r="E183"/>
  <c r="K182"/>
  <c r="L182" s="1"/>
  <c r="M182" s="1"/>
  <c r="N182" s="1"/>
  <c r="O182" s="1"/>
  <c r="P182" s="1"/>
  <c r="Q182" s="1"/>
  <c r="R182" s="1"/>
  <c r="S182" s="1"/>
  <c r="T182" s="1"/>
  <c r="U182" s="1"/>
  <c r="V182" s="1"/>
  <c r="W182" s="1"/>
  <c r="E182"/>
  <c r="E180"/>
  <c r="O179"/>
  <c r="P179" s="1"/>
  <c r="Q179" s="1"/>
  <c r="R179" s="1"/>
  <c r="S179" s="1"/>
  <c r="T179" s="1"/>
  <c r="U179" s="1"/>
  <c r="V179" s="1"/>
  <c r="W179" s="1"/>
  <c r="E179"/>
  <c r="K178"/>
  <c r="L178" s="1"/>
  <c r="M178" s="1"/>
  <c r="N178" s="1"/>
  <c r="O178" s="1"/>
  <c r="P178" s="1"/>
  <c r="Q178" s="1"/>
  <c r="R178" s="1"/>
  <c r="S178" s="1"/>
  <c r="T178" s="1"/>
  <c r="U178" s="1"/>
  <c r="V178" s="1"/>
  <c r="W178" s="1"/>
  <c r="E178"/>
  <c r="F174"/>
  <c r="K172"/>
  <c r="L172" s="1"/>
  <c r="M172" s="1"/>
  <c r="N172" s="1"/>
  <c r="O172" s="1"/>
  <c r="P172" s="1"/>
  <c r="Q172" s="1"/>
  <c r="R172" s="1"/>
  <c r="S172" s="1"/>
  <c r="T172" s="1"/>
  <c r="U172" s="1"/>
  <c r="V172" s="1"/>
  <c r="W172" s="1"/>
  <c r="E172"/>
  <c r="K171"/>
  <c r="L171" s="1"/>
  <c r="M171" s="1"/>
  <c r="N171" s="1"/>
  <c r="O171" s="1"/>
  <c r="P171" s="1"/>
  <c r="Q171" s="1"/>
  <c r="R171" s="1"/>
  <c r="S171" s="1"/>
  <c r="T171" s="1"/>
  <c r="U171" s="1"/>
  <c r="V171" s="1"/>
  <c r="W171" s="1"/>
  <c r="E171"/>
  <c r="F166"/>
  <c r="D8" s="1"/>
  <c r="H165"/>
  <c r="E33" i="11" s="1"/>
  <c r="H164" i="12"/>
  <c r="E32" i="11" s="1"/>
  <c r="H163" i="12"/>
  <c r="E31" i="11" s="1"/>
  <c r="G50" i="12"/>
  <c r="I50" s="1"/>
  <c r="J50" s="1"/>
  <c r="C50"/>
  <c r="E50" s="1"/>
  <c r="G49"/>
  <c r="I49" s="1"/>
  <c r="J49" s="1"/>
  <c r="C49"/>
  <c r="E49" s="1"/>
  <c r="G48"/>
  <c r="C48"/>
  <c r="E48" s="1"/>
  <c r="G47"/>
  <c r="I47" s="1"/>
  <c r="J47" s="1"/>
  <c r="C47"/>
  <c r="E47" s="1"/>
  <c r="G46"/>
  <c r="E46"/>
  <c r="G45"/>
  <c r="E45"/>
  <c r="G44"/>
  <c r="I44" s="1"/>
  <c r="J44" s="1"/>
  <c r="E44"/>
  <c r="G43"/>
  <c r="I43" s="1"/>
  <c r="J43" s="1"/>
  <c r="E43"/>
  <c r="G42"/>
  <c r="E42"/>
  <c r="G41"/>
  <c r="E41"/>
  <c r="G40"/>
  <c r="E40"/>
  <c r="G39"/>
  <c r="E39"/>
  <c r="G38"/>
  <c r="C38"/>
  <c r="E38" s="1"/>
  <c r="G37"/>
  <c r="C37"/>
  <c r="E37" s="1"/>
  <c r="G36"/>
  <c r="I36" s="1"/>
  <c r="J36" s="1"/>
  <c r="E36"/>
  <c r="D38" i="11" s="1"/>
  <c r="G35" i="12"/>
  <c r="I35" s="1"/>
  <c r="J35" s="1"/>
  <c r="E35"/>
  <c r="D37" i="11" s="1"/>
  <c r="C26" i="12"/>
  <c r="C25"/>
  <c r="C24"/>
  <c r="D22"/>
  <c r="C18"/>
  <c r="B19" i="11" s="1"/>
  <c r="C17" i="12"/>
  <c r="B18" i="11" s="1"/>
  <c r="C16" i="12"/>
  <c r="B17" i="11" s="1"/>
  <c r="C15" i="12"/>
  <c r="B16" i="11" s="1"/>
  <c r="C14" i="12"/>
  <c r="B15" i="11" s="1"/>
  <c r="C13" i="12"/>
  <c r="C12"/>
  <c r="B13" i="11" s="1"/>
  <c r="C11" i="12"/>
  <c r="B185" s="1"/>
  <c r="C10"/>
  <c r="C9"/>
  <c r="B10" i="11" s="1"/>
  <c r="F127"/>
  <c r="G127" s="1"/>
  <c r="E127"/>
  <c r="D127"/>
  <c r="F126"/>
  <c r="D126"/>
  <c r="F125"/>
  <c r="D125"/>
  <c r="F124"/>
  <c r="D124"/>
  <c r="F123"/>
  <c r="D123"/>
  <c r="F122"/>
  <c r="D122"/>
  <c r="D118"/>
  <c r="D117"/>
  <c r="F116"/>
  <c r="D112"/>
  <c r="D111"/>
  <c r="D110"/>
  <c r="F110" s="1"/>
  <c r="D106"/>
  <c r="D105"/>
  <c r="D104"/>
  <c r="F104" s="1"/>
  <c r="D67"/>
  <c r="D66"/>
  <c r="D65"/>
  <c r="D64"/>
  <c r="D63"/>
  <c r="D62"/>
  <c r="D61"/>
  <c r="D60"/>
  <c r="F56"/>
  <c r="D56"/>
  <c r="F55"/>
  <c r="G55" s="1"/>
  <c r="D55"/>
  <c r="F54"/>
  <c r="D54"/>
  <c r="F53"/>
  <c r="D53"/>
  <c r="F49"/>
  <c r="D49"/>
  <c r="F48"/>
  <c r="D48"/>
  <c r="D44"/>
  <c r="F43"/>
  <c r="D43"/>
  <c r="F38"/>
  <c r="G38" s="1"/>
  <c r="F37"/>
  <c r="D36"/>
  <c r="P34"/>
  <c r="P9" s="1"/>
  <c r="O34"/>
  <c r="N34"/>
  <c r="N9" s="1"/>
  <c r="M34"/>
  <c r="M9" s="1"/>
  <c r="J34"/>
  <c r="J9" s="1"/>
  <c r="I34"/>
  <c r="I9" s="1"/>
  <c r="H34"/>
  <c r="H9" s="1"/>
  <c r="G34"/>
  <c r="G9" s="1"/>
  <c r="F33"/>
  <c r="D33"/>
  <c r="F32"/>
  <c r="D32"/>
  <c r="F31"/>
  <c r="D31"/>
  <c r="B30"/>
  <c r="B14"/>
  <c r="O9"/>
  <c r="C92" i="8"/>
  <c r="F38" i="4"/>
  <c r="G38"/>
  <c r="H38"/>
  <c r="I38"/>
  <c r="E38"/>
  <c r="E96" i="3"/>
  <c r="E125" i="11" l="1"/>
  <c r="E123"/>
  <c r="F86"/>
  <c r="F106"/>
  <c r="F60"/>
  <c r="G60" s="1"/>
  <c r="F84"/>
  <c r="F88"/>
  <c r="G88" s="1"/>
  <c r="F112"/>
  <c r="E122"/>
  <c r="E126"/>
  <c r="E124"/>
  <c r="F73"/>
  <c r="G73" s="1"/>
  <c r="F85"/>
  <c r="F87"/>
  <c r="G87" s="1"/>
  <c r="F111"/>
  <c r="F118"/>
  <c r="G118" s="1"/>
  <c r="C27" i="12"/>
  <c r="P183"/>
  <c r="Q183" s="1"/>
  <c r="R183" s="1"/>
  <c r="S183" s="1"/>
  <c r="T183" s="1"/>
  <c r="U183" s="1"/>
  <c r="V183" s="1"/>
  <c r="W183" s="1"/>
  <c r="AC63" i="16"/>
  <c r="AD63" s="1"/>
  <c r="AC64"/>
  <c r="AD64" s="1"/>
  <c r="AC232"/>
  <c r="AD232" s="1"/>
  <c r="AC231"/>
  <c r="AD231" s="1"/>
  <c r="H68" i="22"/>
  <c r="H33" s="1"/>
  <c r="I258" i="12"/>
  <c r="J258" s="1"/>
  <c r="H258" s="1"/>
  <c r="I256"/>
  <c r="J256" s="1"/>
  <c r="H256" s="1"/>
  <c r="I254"/>
  <c r="J254" s="1"/>
  <c r="H254" s="1"/>
  <c r="I234"/>
  <c r="J234" s="1"/>
  <c r="I230"/>
  <c r="J230" s="1"/>
  <c r="I225"/>
  <c r="J225" s="1"/>
  <c r="H225" s="1"/>
  <c r="I222"/>
  <c r="J222" s="1"/>
  <c r="H222" s="1"/>
  <c r="I218"/>
  <c r="J218" s="1"/>
  <c r="H218" s="1"/>
  <c r="I213"/>
  <c r="J213" s="1"/>
  <c r="H213" s="1"/>
  <c r="I210"/>
  <c r="J210" s="1"/>
  <c r="I206"/>
  <c r="J206" s="1"/>
  <c r="I198"/>
  <c r="J198" s="1"/>
  <c r="I196"/>
  <c r="J196" s="1"/>
  <c r="I190"/>
  <c r="J190" s="1"/>
  <c r="H190" s="1"/>
  <c r="I154"/>
  <c r="J154" s="1"/>
  <c r="I152"/>
  <c r="J152" s="1"/>
  <c r="I150"/>
  <c r="J150" s="1"/>
  <c r="I128"/>
  <c r="J128" s="1"/>
  <c r="I125"/>
  <c r="J125" s="1"/>
  <c r="I121"/>
  <c r="J121" s="1"/>
  <c r="I116"/>
  <c r="J116" s="1"/>
  <c r="I113"/>
  <c r="J113" s="1"/>
  <c r="I109"/>
  <c r="J109" s="1"/>
  <c r="I104"/>
  <c r="J104" s="1"/>
  <c r="I99"/>
  <c r="J99" s="1"/>
  <c r="I94"/>
  <c r="J94" s="1"/>
  <c r="I88"/>
  <c r="J88" s="1"/>
  <c r="I69"/>
  <c r="J69" s="1"/>
  <c r="I257"/>
  <c r="J257" s="1"/>
  <c r="H257" s="1"/>
  <c r="I255"/>
  <c r="J255" s="1"/>
  <c r="I253"/>
  <c r="J253" s="1"/>
  <c r="I231"/>
  <c r="J231" s="1"/>
  <c r="H231" s="1"/>
  <c r="I228"/>
  <c r="J228" s="1"/>
  <c r="I224"/>
  <c r="J224" s="1"/>
  <c r="I219"/>
  <c r="J219" s="1"/>
  <c r="H219" s="1"/>
  <c r="I216"/>
  <c r="J216" s="1"/>
  <c r="I212"/>
  <c r="J212" s="1"/>
  <c r="I207"/>
  <c r="J207" s="1"/>
  <c r="I202"/>
  <c r="J202" s="1"/>
  <c r="I197"/>
  <c r="J197" s="1"/>
  <c r="H197" s="1"/>
  <c r="I191"/>
  <c r="J191" s="1"/>
  <c r="H191" s="1"/>
  <c r="I172"/>
  <c r="J172" s="1"/>
  <c r="H172" s="1"/>
  <c r="L38" i="11" s="1"/>
  <c r="I155" i="12"/>
  <c r="J155" s="1"/>
  <c r="I153"/>
  <c r="J153" s="1"/>
  <c r="I151"/>
  <c r="J151" s="1"/>
  <c r="I131"/>
  <c r="J131" s="1"/>
  <c r="I127"/>
  <c r="J127" s="1"/>
  <c r="I122"/>
  <c r="J122" s="1"/>
  <c r="I119"/>
  <c r="J119" s="1"/>
  <c r="I115"/>
  <c r="J115" s="1"/>
  <c r="I110"/>
  <c r="J110" s="1"/>
  <c r="I107"/>
  <c r="J107" s="1"/>
  <c r="I103"/>
  <c r="J103" s="1"/>
  <c r="I95"/>
  <c r="J95" s="1"/>
  <c r="I93"/>
  <c r="J93" s="1"/>
  <c r="I87"/>
  <c r="J87" s="1"/>
  <c r="I68"/>
  <c r="J68" s="1"/>
  <c r="I171"/>
  <c r="J171" s="1"/>
  <c r="H171" s="1"/>
  <c r="L37" i="11" s="1"/>
  <c r="I38" i="12"/>
  <c r="J38" s="1"/>
  <c r="I182"/>
  <c r="J182" s="1"/>
  <c r="H182" s="1"/>
  <c r="I79"/>
  <c r="J79" s="1"/>
  <c r="I37"/>
  <c r="J37" s="1"/>
  <c r="I178"/>
  <c r="J178" s="1"/>
  <c r="H178" s="1"/>
  <c r="I75"/>
  <c r="J75" s="1"/>
  <c r="I39"/>
  <c r="J39" s="1"/>
  <c r="I245"/>
  <c r="J245" s="1"/>
  <c r="H245" s="1"/>
  <c r="I146"/>
  <c r="J146" s="1"/>
  <c r="I138"/>
  <c r="J138" s="1"/>
  <c r="I249"/>
  <c r="J249" s="1"/>
  <c r="H249" s="1"/>
  <c r="I241"/>
  <c r="J241" s="1"/>
  <c r="H241" s="1"/>
  <c r="I142"/>
  <c r="J142" s="1"/>
  <c r="I40"/>
  <c r="J40" s="1"/>
  <c r="I189"/>
  <c r="J189" s="1"/>
  <c r="I92"/>
  <c r="J92" s="1"/>
  <c r="I195"/>
  <c r="J195" s="1"/>
  <c r="H195" s="1"/>
  <c r="I86"/>
  <c r="J86" s="1"/>
  <c r="I41"/>
  <c r="J41" s="1"/>
  <c r="I183"/>
  <c r="J183" s="1"/>
  <c r="I179"/>
  <c r="J179" s="1"/>
  <c r="H179" s="1"/>
  <c r="I80"/>
  <c r="J80" s="1"/>
  <c r="I76"/>
  <c r="J76" s="1"/>
  <c r="I250"/>
  <c r="J250" s="1"/>
  <c r="H250" s="1"/>
  <c r="I246"/>
  <c r="J246" s="1"/>
  <c r="I242"/>
  <c r="J242" s="1"/>
  <c r="I147"/>
  <c r="J147" s="1"/>
  <c r="I143"/>
  <c r="J143" s="1"/>
  <c r="I139"/>
  <c r="I42"/>
  <c r="J42" s="1"/>
  <c r="I247"/>
  <c r="J247" s="1"/>
  <c r="H247" s="1"/>
  <c r="I148"/>
  <c r="J148" s="1"/>
  <c r="I140"/>
  <c r="J140" s="1"/>
  <c r="I251"/>
  <c r="J251" s="1"/>
  <c r="H251" s="1"/>
  <c r="I243"/>
  <c r="J243" s="1"/>
  <c r="H243" s="1"/>
  <c r="I144"/>
  <c r="J144" s="1"/>
  <c r="I45"/>
  <c r="J45" s="1"/>
  <c r="I192"/>
  <c r="J192" s="1"/>
  <c r="I89"/>
  <c r="J89" s="1"/>
  <c r="I232"/>
  <c r="J232" s="1"/>
  <c r="I226"/>
  <c r="J226" s="1"/>
  <c r="I220"/>
  <c r="J220" s="1"/>
  <c r="H220" s="1"/>
  <c r="I214"/>
  <c r="J214" s="1"/>
  <c r="I208"/>
  <c r="J208" s="1"/>
  <c r="I199"/>
  <c r="J199" s="1"/>
  <c r="I129"/>
  <c r="J129" s="1"/>
  <c r="I123"/>
  <c r="J123" s="1"/>
  <c r="I117"/>
  <c r="J117" s="1"/>
  <c r="I111"/>
  <c r="J111" s="1"/>
  <c r="I105"/>
  <c r="J105" s="1"/>
  <c r="I96"/>
  <c r="J96" s="1"/>
  <c r="I46"/>
  <c r="J46" s="1"/>
  <c r="I227"/>
  <c r="J227" s="1"/>
  <c r="I215"/>
  <c r="J215" s="1"/>
  <c r="I201"/>
  <c r="J201" s="1"/>
  <c r="I124"/>
  <c r="J124" s="1"/>
  <c r="I112"/>
  <c r="J112" s="1"/>
  <c r="I98"/>
  <c r="J98" s="1"/>
  <c r="I233"/>
  <c r="J233" s="1"/>
  <c r="I221"/>
  <c r="J221" s="1"/>
  <c r="H221" s="1"/>
  <c r="I209"/>
  <c r="J209" s="1"/>
  <c r="I130"/>
  <c r="J130" s="1"/>
  <c r="I118"/>
  <c r="J118" s="1"/>
  <c r="I106"/>
  <c r="J106" s="1"/>
  <c r="I48"/>
  <c r="J48" s="1"/>
  <c r="I200"/>
  <c r="J200" s="1"/>
  <c r="I97"/>
  <c r="J97" s="1"/>
  <c r="L246"/>
  <c r="M246" s="1"/>
  <c r="P246" s="1"/>
  <c r="T246" s="1"/>
  <c r="U246" s="1"/>
  <c r="V246" s="1"/>
  <c r="W246" s="1"/>
  <c r="Q340" i="16"/>
  <c r="Q242" i="12"/>
  <c r="R242" s="1"/>
  <c r="T242" s="1"/>
  <c r="U242" s="1"/>
  <c r="V242" s="1"/>
  <c r="W242" s="1"/>
  <c r="E106" i="11"/>
  <c r="E37"/>
  <c r="L192" i="12"/>
  <c r="M192" s="1"/>
  <c r="O192" s="1"/>
  <c r="P192" s="1"/>
  <c r="Q192" s="1"/>
  <c r="R192" s="1"/>
  <c r="S192" s="1"/>
  <c r="T192" s="1"/>
  <c r="U192" s="1"/>
  <c r="V192" s="1"/>
  <c r="W192" s="1"/>
  <c r="L253"/>
  <c r="M253" s="1"/>
  <c r="N253" s="1"/>
  <c r="O253" s="1"/>
  <c r="P253" s="1"/>
  <c r="R253" s="1"/>
  <c r="S253" s="1"/>
  <c r="T253" s="1"/>
  <c r="U253" s="1"/>
  <c r="V253" s="1"/>
  <c r="W253" s="1"/>
  <c r="L255"/>
  <c r="N255" s="1"/>
  <c r="O255" s="1"/>
  <c r="P255" s="1"/>
  <c r="Q255" s="1"/>
  <c r="R255" s="1"/>
  <c r="S255" s="1"/>
  <c r="T255" s="1"/>
  <c r="U255" s="1"/>
  <c r="B12" i="11"/>
  <c r="F62"/>
  <c r="G62" s="1"/>
  <c r="F79"/>
  <c r="G79" s="1"/>
  <c r="F97"/>
  <c r="G97" s="1"/>
  <c r="F117"/>
  <c r="G117" s="1"/>
  <c r="C28" i="12"/>
  <c r="L189"/>
  <c r="M189" s="1"/>
  <c r="N189" s="1"/>
  <c r="O189" s="1"/>
  <c r="P189" s="1"/>
  <c r="Q189" s="1"/>
  <c r="R189" s="1"/>
  <c r="S189" s="1"/>
  <c r="T189" s="1"/>
  <c r="U189" s="1"/>
  <c r="V189" s="1"/>
  <c r="W189" s="1"/>
  <c r="F64" i="11"/>
  <c r="G64" s="1"/>
  <c r="F91"/>
  <c r="G91" s="1"/>
  <c r="F105"/>
  <c r="D10" i="12"/>
  <c r="E48" i="11"/>
  <c r="E55"/>
  <c r="M55" s="1"/>
  <c r="E61"/>
  <c r="E63"/>
  <c r="E65"/>
  <c r="E67"/>
  <c r="E84"/>
  <c r="E86"/>
  <c r="E88"/>
  <c r="E91"/>
  <c r="E93"/>
  <c r="E105"/>
  <c r="E116"/>
  <c r="E38"/>
  <c r="M38" s="1"/>
  <c r="E44"/>
  <c r="E54"/>
  <c r="E111"/>
  <c r="E49"/>
  <c r="E56"/>
  <c r="E112"/>
  <c r="E43"/>
  <c r="E53"/>
  <c r="E60"/>
  <c r="E62"/>
  <c r="E64"/>
  <c r="E66"/>
  <c r="E85"/>
  <c r="E87"/>
  <c r="E90"/>
  <c r="E92"/>
  <c r="E94"/>
  <c r="D79" i="14"/>
  <c r="D80" s="1"/>
  <c r="I24"/>
  <c r="I23"/>
  <c r="L199" i="12"/>
  <c r="G54" i="11"/>
  <c r="H54" s="1"/>
  <c r="G56"/>
  <c r="L207" i="12"/>
  <c r="F40" i="11"/>
  <c r="F10" s="1"/>
  <c r="F45"/>
  <c r="F11" s="1"/>
  <c r="F50"/>
  <c r="F12" s="1"/>
  <c r="F57"/>
  <c r="F13" s="1"/>
  <c r="H43" i="12"/>
  <c r="J139"/>
  <c r="B11" i="11"/>
  <c r="E104"/>
  <c r="F128"/>
  <c r="F19" s="1"/>
  <c r="D9" i="12"/>
  <c r="H35"/>
  <c r="H39"/>
  <c r="H166"/>
  <c r="F8" s="1"/>
  <c r="H41"/>
  <c r="H45"/>
  <c r="G37" i="11"/>
  <c r="G43"/>
  <c r="G45" s="1"/>
  <c r="G11" s="1"/>
  <c r="G48"/>
  <c r="G50" s="1"/>
  <c r="G12" s="1"/>
  <c r="G53"/>
  <c r="F34"/>
  <c r="F9" s="1"/>
  <c r="H8" i="12" s="1"/>
  <c r="E110" i="11"/>
  <c r="G104"/>
  <c r="G110"/>
  <c r="G112"/>
  <c r="H38"/>
  <c r="H55"/>
  <c r="E72"/>
  <c r="E73"/>
  <c r="E74"/>
  <c r="E75"/>
  <c r="E76"/>
  <c r="E78"/>
  <c r="E79"/>
  <c r="E80"/>
  <c r="E81"/>
  <c r="E82"/>
  <c r="E96"/>
  <c r="E97"/>
  <c r="E98"/>
  <c r="E99"/>
  <c r="E100"/>
  <c r="G116"/>
  <c r="E117"/>
  <c r="E118"/>
  <c r="G122"/>
  <c r="G123"/>
  <c r="G124"/>
  <c r="G126"/>
  <c r="M127"/>
  <c r="D11" i="12"/>
  <c r="H36"/>
  <c r="H37"/>
  <c r="H38"/>
  <c r="H40"/>
  <c r="H42"/>
  <c r="H44"/>
  <c r="H46"/>
  <c r="H47"/>
  <c r="H48"/>
  <c r="H49"/>
  <c r="H50"/>
  <c r="G48" i="4"/>
  <c r="H48" s="1"/>
  <c r="I48" s="1"/>
  <c r="F113" i="11" l="1"/>
  <c r="F17" s="1"/>
  <c r="G111"/>
  <c r="G113" s="1"/>
  <c r="G17" s="1"/>
  <c r="F107"/>
  <c r="F16" s="1"/>
  <c r="G105"/>
  <c r="M105" s="1"/>
  <c r="F119"/>
  <c r="F18" s="1"/>
  <c r="H246" i="12"/>
  <c r="H260" s="1"/>
  <c r="H36" i="22"/>
  <c r="C68"/>
  <c r="H255" i="12"/>
  <c r="H192"/>
  <c r="H183"/>
  <c r="H185" s="1"/>
  <c r="F11" s="1"/>
  <c r="H253"/>
  <c r="M56" i="11"/>
  <c r="K151" i="12"/>
  <c r="M151"/>
  <c r="O151"/>
  <c r="Q151"/>
  <c r="S151"/>
  <c r="U151"/>
  <c r="L151"/>
  <c r="N151"/>
  <c r="P151"/>
  <c r="R151"/>
  <c r="T151"/>
  <c r="V151"/>
  <c r="K139"/>
  <c r="M139"/>
  <c r="O139"/>
  <c r="Q139"/>
  <c r="S139"/>
  <c r="U139"/>
  <c r="L139"/>
  <c r="N139"/>
  <c r="P139"/>
  <c r="R139"/>
  <c r="T139"/>
  <c r="V139"/>
  <c r="K153"/>
  <c r="M153"/>
  <c r="O153"/>
  <c r="Q153"/>
  <c r="S153"/>
  <c r="U153"/>
  <c r="L153"/>
  <c r="N153"/>
  <c r="P153"/>
  <c r="R153"/>
  <c r="T153"/>
  <c r="V153"/>
  <c r="K154"/>
  <c r="M154"/>
  <c r="O154"/>
  <c r="Q154"/>
  <c r="S154"/>
  <c r="U154"/>
  <c r="L154"/>
  <c r="N154"/>
  <c r="P154"/>
  <c r="R154"/>
  <c r="T154"/>
  <c r="V154"/>
  <c r="V138"/>
  <c r="T138"/>
  <c r="R138"/>
  <c r="P138"/>
  <c r="N138"/>
  <c r="L138"/>
  <c r="U138"/>
  <c r="S138"/>
  <c r="Q138"/>
  <c r="O138"/>
  <c r="M138"/>
  <c r="K138"/>
  <c r="K143"/>
  <c r="M143"/>
  <c r="O143"/>
  <c r="Q143"/>
  <c r="S143"/>
  <c r="U143"/>
  <c r="L143"/>
  <c r="N143"/>
  <c r="P143"/>
  <c r="R143"/>
  <c r="T143"/>
  <c r="V143"/>
  <c r="K148"/>
  <c r="M148"/>
  <c r="O148"/>
  <c r="Q148"/>
  <c r="S148"/>
  <c r="U148"/>
  <c r="L148"/>
  <c r="N148"/>
  <c r="P148"/>
  <c r="R148"/>
  <c r="T148"/>
  <c r="V148"/>
  <c r="K155"/>
  <c r="M155"/>
  <c r="O155"/>
  <c r="Q155"/>
  <c r="S155"/>
  <c r="U155"/>
  <c r="L155"/>
  <c r="N155"/>
  <c r="P155"/>
  <c r="R155"/>
  <c r="T155"/>
  <c r="V155"/>
  <c r="K152"/>
  <c r="M152"/>
  <c r="O152"/>
  <c r="Q152"/>
  <c r="S152"/>
  <c r="U152"/>
  <c r="L152"/>
  <c r="N152"/>
  <c r="P152"/>
  <c r="R152"/>
  <c r="T152"/>
  <c r="V152"/>
  <c r="K140"/>
  <c r="M140"/>
  <c r="O140"/>
  <c r="Q140"/>
  <c r="S140"/>
  <c r="U140"/>
  <c r="L140"/>
  <c r="N140"/>
  <c r="P140"/>
  <c r="R140"/>
  <c r="T140"/>
  <c r="V140"/>
  <c r="K150"/>
  <c r="M150"/>
  <c r="O150"/>
  <c r="Q150"/>
  <c r="S150"/>
  <c r="U150"/>
  <c r="L150"/>
  <c r="N150"/>
  <c r="P150"/>
  <c r="R150"/>
  <c r="T150"/>
  <c r="V150"/>
  <c r="K142"/>
  <c r="M142"/>
  <c r="O142"/>
  <c r="Q142"/>
  <c r="S142"/>
  <c r="U142"/>
  <c r="L142"/>
  <c r="N142"/>
  <c r="P142"/>
  <c r="R142"/>
  <c r="T142"/>
  <c r="V142"/>
  <c r="K146"/>
  <c r="M146"/>
  <c r="O146"/>
  <c r="Q146"/>
  <c r="S146"/>
  <c r="U146"/>
  <c r="L146"/>
  <c r="N146"/>
  <c r="P146"/>
  <c r="R146"/>
  <c r="T146"/>
  <c r="V146"/>
  <c r="K147"/>
  <c r="M147"/>
  <c r="O147"/>
  <c r="Q147"/>
  <c r="S147"/>
  <c r="U147"/>
  <c r="L147"/>
  <c r="N147"/>
  <c r="P147"/>
  <c r="R147"/>
  <c r="T147"/>
  <c r="V147"/>
  <c r="K144"/>
  <c r="M144"/>
  <c r="O144"/>
  <c r="Q144"/>
  <c r="S144"/>
  <c r="U144"/>
  <c r="L144"/>
  <c r="N144"/>
  <c r="P144"/>
  <c r="R144"/>
  <c r="T144"/>
  <c r="V144"/>
  <c r="K117"/>
  <c r="M117"/>
  <c r="O117"/>
  <c r="Q117"/>
  <c r="S117"/>
  <c r="U117"/>
  <c r="N117"/>
  <c r="R117"/>
  <c r="V117"/>
  <c r="L117"/>
  <c r="P117"/>
  <c r="T117"/>
  <c r="K107"/>
  <c r="Q107"/>
  <c r="P107"/>
  <c r="V86"/>
  <c r="T86"/>
  <c r="R86"/>
  <c r="P86"/>
  <c r="N86"/>
  <c r="L86"/>
  <c r="S86"/>
  <c r="O86"/>
  <c r="K86"/>
  <c r="U86"/>
  <c r="Q86"/>
  <c r="M86"/>
  <c r="K104"/>
  <c r="L104"/>
  <c r="V92"/>
  <c r="T92"/>
  <c r="R92"/>
  <c r="P92"/>
  <c r="N92"/>
  <c r="L92"/>
  <c r="S92"/>
  <c r="O92"/>
  <c r="K92"/>
  <c r="U92"/>
  <c r="Q92"/>
  <c r="M92"/>
  <c r="K119"/>
  <c r="M119"/>
  <c r="O119"/>
  <c r="Q119"/>
  <c r="S119"/>
  <c r="U119"/>
  <c r="N119"/>
  <c r="R119"/>
  <c r="V119"/>
  <c r="L119"/>
  <c r="P119"/>
  <c r="T119"/>
  <c r="K110"/>
  <c r="M110"/>
  <c r="O110"/>
  <c r="Q110"/>
  <c r="S110"/>
  <c r="U110"/>
  <c r="N110"/>
  <c r="R110"/>
  <c r="V110"/>
  <c r="L110"/>
  <c r="P110"/>
  <c r="T110"/>
  <c r="K99"/>
  <c r="M99"/>
  <c r="O99"/>
  <c r="Q99"/>
  <c r="N99"/>
  <c r="L99"/>
  <c r="P99"/>
  <c r="K88"/>
  <c r="M88"/>
  <c r="O88"/>
  <c r="Q88"/>
  <c r="S88"/>
  <c r="U88"/>
  <c r="N88"/>
  <c r="R88"/>
  <c r="V88"/>
  <c r="L88"/>
  <c r="P88"/>
  <c r="T88"/>
  <c r="K111"/>
  <c r="Q111"/>
  <c r="P111"/>
  <c r="K98"/>
  <c r="M98"/>
  <c r="O98"/>
  <c r="Q98"/>
  <c r="S98"/>
  <c r="U98"/>
  <c r="N98"/>
  <c r="R98"/>
  <c r="V98"/>
  <c r="L98"/>
  <c r="P98"/>
  <c r="T98"/>
  <c r="K89"/>
  <c r="M89"/>
  <c r="O89"/>
  <c r="Q89"/>
  <c r="S89"/>
  <c r="U89"/>
  <c r="N89"/>
  <c r="R89"/>
  <c r="V89"/>
  <c r="L89"/>
  <c r="P89"/>
  <c r="T89"/>
  <c r="K122"/>
  <c r="M122"/>
  <c r="O122"/>
  <c r="Q122"/>
  <c r="S122"/>
  <c r="U122"/>
  <c r="L122"/>
  <c r="N122"/>
  <c r="P122"/>
  <c r="R122"/>
  <c r="T122"/>
  <c r="V122"/>
  <c r="K93"/>
  <c r="M93"/>
  <c r="N93"/>
  <c r="L93"/>
  <c r="K128"/>
  <c r="M128"/>
  <c r="O128"/>
  <c r="Q128"/>
  <c r="S128"/>
  <c r="U128"/>
  <c r="L128"/>
  <c r="N128"/>
  <c r="P128"/>
  <c r="R128"/>
  <c r="T128"/>
  <c r="V128"/>
  <c r="K118"/>
  <c r="M118"/>
  <c r="O118"/>
  <c r="Q118"/>
  <c r="S118"/>
  <c r="U118"/>
  <c r="N118"/>
  <c r="R118"/>
  <c r="V118"/>
  <c r="L118"/>
  <c r="P118"/>
  <c r="T118"/>
  <c r="K96"/>
  <c r="L96"/>
  <c r="K87"/>
  <c r="M87"/>
  <c r="O87"/>
  <c r="Q87"/>
  <c r="S87"/>
  <c r="U87"/>
  <c r="N87"/>
  <c r="R87"/>
  <c r="V87"/>
  <c r="L87"/>
  <c r="P87"/>
  <c r="T87"/>
  <c r="V115"/>
  <c r="T115"/>
  <c r="R115"/>
  <c r="P115"/>
  <c r="N115"/>
  <c r="L115"/>
  <c r="S115"/>
  <c r="O115"/>
  <c r="K115"/>
  <c r="U115"/>
  <c r="Q115"/>
  <c r="M115"/>
  <c r="K95"/>
  <c r="P95"/>
  <c r="K116"/>
  <c r="M116"/>
  <c r="O116"/>
  <c r="Q116"/>
  <c r="S116"/>
  <c r="U116"/>
  <c r="N116"/>
  <c r="R116"/>
  <c r="V116"/>
  <c r="L116"/>
  <c r="P116"/>
  <c r="T116"/>
  <c r="K94"/>
  <c r="M94"/>
  <c r="O94"/>
  <c r="Q94"/>
  <c r="S94"/>
  <c r="U94"/>
  <c r="N94"/>
  <c r="R94"/>
  <c r="V94"/>
  <c r="L94"/>
  <c r="P94"/>
  <c r="T94"/>
  <c r="U79"/>
  <c r="S79"/>
  <c r="Q79"/>
  <c r="O79"/>
  <c r="M79"/>
  <c r="K79"/>
  <c r="V79"/>
  <c r="T79"/>
  <c r="R79"/>
  <c r="P79"/>
  <c r="N79"/>
  <c r="L79"/>
  <c r="K76"/>
  <c r="M76"/>
  <c r="O76"/>
  <c r="Q76"/>
  <c r="S76"/>
  <c r="U76"/>
  <c r="L76"/>
  <c r="N76"/>
  <c r="P76"/>
  <c r="R76"/>
  <c r="T76"/>
  <c r="V76"/>
  <c r="U75"/>
  <c r="S75"/>
  <c r="Q75"/>
  <c r="O75"/>
  <c r="M75"/>
  <c r="K75"/>
  <c r="V75"/>
  <c r="T75"/>
  <c r="R75"/>
  <c r="P75"/>
  <c r="N75"/>
  <c r="L75"/>
  <c r="U69"/>
  <c r="S69"/>
  <c r="Q69"/>
  <c r="O69"/>
  <c r="M69"/>
  <c r="K69"/>
  <c r="V69"/>
  <c r="T69"/>
  <c r="R69"/>
  <c r="P69"/>
  <c r="N69"/>
  <c r="L69"/>
  <c r="U68"/>
  <c r="S68"/>
  <c r="Q68"/>
  <c r="O68"/>
  <c r="M68"/>
  <c r="K68"/>
  <c r="V68"/>
  <c r="T68"/>
  <c r="R68"/>
  <c r="P68"/>
  <c r="N68"/>
  <c r="L68"/>
  <c r="K80"/>
  <c r="M80"/>
  <c r="O80"/>
  <c r="Q80"/>
  <c r="S80"/>
  <c r="U80"/>
  <c r="L80"/>
  <c r="N80"/>
  <c r="P80"/>
  <c r="R80"/>
  <c r="T80"/>
  <c r="V80"/>
  <c r="Q171" i="16"/>
  <c r="O340"/>
  <c r="H242" i="12"/>
  <c r="H259" s="1"/>
  <c r="H56" i="11"/>
  <c r="I56" s="1"/>
  <c r="M49"/>
  <c r="H10" i="12"/>
  <c r="M44" i="11"/>
  <c r="H189" i="12"/>
  <c r="M54" i="11"/>
  <c r="M199" i="12"/>
  <c r="M96" s="1"/>
  <c r="G57" i="11"/>
  <c r="G13" s="1"/>
  <c r="G40"/>
  <c r="G10" s="1"/>
  <c r="M207" i="12"/>
  <c r="M104" s="1"/>
  <c r="M53" i="11"/>
  <c r="M43"/>
  <c r="M48"/>
  <c r="H37"/>
  <c r="H11" i="12"/>
  <c r="H9"/>
  <c r="H48" i="11"/>
  <c r="N48" s="1"/>
  <c r="M37"/>
  <c r="M40" s="1"/>
  <c r="M10" s="1"/>
  <c r="L34"/>
  <c r="L9" s="1"/>
  <c r="H174" i="12"/>
  <c r="F9" s="1"/>
  <c r="H184"/>
  <c r="F10" s="1"/>
  <c r="H53" i="11"/>
  <c r="N53" s="1"/>
  <c r="H43"/>
  <c r="I43" s="1"/>
  <c r="L40"/>
  <c r="L10" s="1"/>
  <c r="M126"/>
  <c r="H126"/>
  <c r="M124"/>
  <c r="H124"/>
  <c r="N54"/>
  <c r="I54"/>
  <c r="N44"/>
  <c r="M118"/>
  <c r="H118"/>
  <c r="M97"/>
  <c r="M91"/>
  <c r="M88"/>
  <c r="H88"/>
  <c r="M87"/>
  <c r="H87"/>
  <c r="M86"/>
  <c r="M85"/>
  <c r="M84"/>
  <c r="M73"/>
  <c r="M64"/>
  <c r="H64"/>
  <c r="M62"/>
  <c r="H62"/>
  <c r="M60"/>
  <c r="H60"/>
  <c r="M117"/>
  <c r="H117"/>
  <c r="M112"/>
  <c r="M104"/>
  <c r="H104"/>
  <c r="M79"/>
  <c r="N127"/>
  <c r="M125"/>
  <c r="H125"/>
  <c r="M123"/>
  <c r="G128"/>
  <c r="G19" s="1"/>
  <c r="M122"/>
  <c r="M116"/>
  <c r="H116"/>
  <c r="G119"/>
  <c r="G18" s="1"/>
  <c r="N55"/>
  <c r="I55"/>
  <c r="N49"/>
  <c r="N38"/>
  <c r="I38"/>
  <c r="M110"/>
  <c r="H110"/>
  <c r="M106"/>
  <c r="H261" i="12"/>
  <c r="G41" i="4"/>
  <c r="G18" i="7" s="1"/>
  <c r="F29" i="5"/>
  <c r="G29"/>
  <c r="H29"/>
  <c r="I29"/>
  <c r="J29"/>
  <c r="K29"/>
  <c r="E29"/>
  <c r="F13"/>
  <c r="G13"/>
  <c r="H13"/>
  <c r="I13"/>
  <c r="J13"/>
  <c r="K13"/>
  <c r="E13"/>
  <c r="L35"/>
  <c r="L33"/>
  <c r="L32"/>
  <c r="L31"/>
  <c r="L17"/>
  <c r="L18"/>
  <c r="L19"/>
  <c r="L20"/>
  <c r="L22"/>
  <c r="L23"/>
  <c r="L24"/>
  <c r="L15"/>
  <c r="L10"/>
  <c r="L34"/>
  <c r="L21"/>
  <c r="M111" i="11" l="1"/>
  <c r="G107"/>
  <c r="G16" s="1"/>
  <c r="H113"/>
  <c r="H17" s="1"/>
  <c r="H235" i="12"/>
  <c r="H262"/>
  <c r="C33" i="22"/>
  <c r="F68"/>
  <c r="F71" s="1"/>
  <c r="M128" i="11"/>
  <c r="M19" s="1"/>
  <c r="H80" i="12"/>
  <c r="L49" i="11" s="1"/>
  <c r="Q183" i="16"/>
  <c r="N171"/>
  <c r="N183" s="1"/>
  <c r="N204" s="1"/>
  <c r="O171"/>
  <c r="AD171" s="1"/>
  <c r="AD340"/>
  <c r="N340"/>
  <c r="N56" i="11"/>
  <c r="N57" s="1"/>
  <c r="N13" s="1"/>
  <c r="M50"/>
  <c r="M12" s="1"/>
  <c r="M45"/>
  <c r="M11" s="1"/>
  <c r="M57"/>
  <c r="M13" s="1"/>
  <c r="I53"/>
  <c r="O53" s="1"/>
  <c r="N199" i="12"/>
  <c r="N96" s="1"/>
  <c r="N37" i="11"/>
  <c r="N40" s="1"/>
  <c r="N10" s="1"/>
  <c r="I37"/>
  <c r="I40" s="1"/>
  <c r="I10" s="1"/>
  <c r="M119"/>
  <c r="M18" s="1"/>
  <c r="N207" i="12"/>
  <c r="N104" s="1"/>
  <c r="H40" i="11"/>
  <c r="H10" s="1"/>
  <c r="H122" i="12"/>
  <c r="L91" i="11" s="1"/>
  <c r="H155" i="12"/>
  <c r="L127" i="11" s="1"/>
  <c r="H45"/>
  <c r="H11" s="1"/>
  <c r="I48"/>
  <c r="O48" s="1"/>
  <c r="N50"/>
  <c r="N12" s="1"/>
  <c r="H50"/>
  <c r="H12" s="1"/>
  <c r="N43"/>
  <c r="N45" s="1"/>
  <c r="N11" s="1"/>
  <c r="H154" i="12"/>
  <c r="L126" i="11" s="1"/>
  <c r="H148" i="12"/>
  <c r="L118" i="11" s="1"/>
  <c r="H143" i="12"/>
  <c r="L111" i="11" s="1"/>
  <c r="H138" i="12"/>
  <c r="L104" i="11" s="1"/>
  <c r="H115" i="12"/>
  <c r="L84" i="11" s="1"/>
  <c r="H140" i="12"/>
  <c r="L106" i="11" s="1"/>
  <c r="H118" i="12"/>
  <c r="L87" i="11" s="1"/>
  <c r="H128" i="12"/>
  <c r="L97" i="11" s="1"/>
  <c r="H152" i="12"/>
  <c r="L124" i="11" s="1"/>
  <c r="H75" i="12"/>
  <c r="L43" i="11" s="1"/>
  <c r="H76" i="12"/>
  <c r="L44" i="11" s="1"/>
  <c r="H69" i="12"/>
  <c r="M113" i="11"/>
  <c r="M17" s="1"/>
  <c r="H57"/>
  <c r="H13" s="1"/>
  <c r="H89" i="12"/>
  <c r="L56" i="11" s="1"/>
  <c r="H68" i="12"/>
  <c r="H87"/>
  <c r="L54" i="11" s="1"/>
  <c r="H144" i="12"/>
  <c r="L112" i="11" s="1"/>
  <c r="H147" i="12"/>
  <c r="L117" i="11" s="1"/>
  <c r="H146" i="12"/>
  <c r="L116" i="11" s="1"/>
  <c r="H142" i="12"/>
  <c r="L110" i="11" s="1"/>
  <c r="H79" i="12"/>
  <c r="L48" i="11" s="1"/>
  <c r="H94" i="12"/>
  <c r="L62" i="11" s="1"/>
  <c r="H116" i="12"/>
  <c r="L85" i="11" s="1"/>
  <c r="H150" i="12"/>
  <c r="L122" i="11" s="1"/>
  <c r="H88" i="12"/>
  <c r="L55" i="11" s="1"/>
  <c r="H110" i="12"/>
  <c r="L79" i="11" s="1"/>
  <c r="H119" i="12"/>
  <c r="L88" i="11" s="1"/>
  <c r="H153" i="12"/>
  <c r="L125" i="11" s="1"/>
  <c r="H92" i="12"/>
  <c r="L60" i="11" s="1"/>
  <c r="H139" i="12"/>
  <c r="L105" i="11" s="1"/>
  <c r="H86" i="12"/>
  <c r="L53" i="11" s="1"/>
  <c r="H117" i="12"/>
  <c r="L86" i="11" s="1"/>
  <c r="H151" i="12"/>
  <c r="L123" i="11" s="1"/>
  <c r="O38"/>
  <c r="J38"/>
  <c r="P38" s="1"/>
  <c r="H119"/>
  <c r="H18" s="1"/>
  <c r="N116"/>
  <c r="I116"/>
  <c r="H128"/>
  <c r="H19" s="1"/>
  <c r="N122"/>
  <c r="N111"/>
  <c r="N112"/>
  <c r="N117"/>
  <c r="I117"/>
  <c r="N60"/>
  <c r="I60"/>
  <c r="I45"/>
  <c r="I11" s="1"/>
  <c r="O43"/>
  <c r="J43"/>
  <c r="O44"/>
  <c r="P44"/>
  <c r="M107"/>
  <c r="M16" s="1"/>
  <c r="N105"/>
  <c r="N106"/>
  <c r="N110"/>
  <c r="I110"/>
  <c r="O49"/>
  <c r="P49"/>
  <c r="O55"/>
  <c r="J55"/>
  <c r="P55" s="1"/>
  <c r="N123"/>
  <c r="N125"/>
  <c r="O127"/>
  <c r="J127"/>
  <c r="P127" s="1"/>
  <c r="N79"/>
  <c r="N104"/>
  <c r="I104"/>
  <c r="H107"/>
  <c r="H16" s="1"/>
  <c r="N62"/>
  <c r="I62"/>
  <c r="N64"/>
  <c r="I64"/>
  <c r="N73"/>
  <c r="I73"/>
  <c r="N84"/>
  <c r="N85"/>
  <c r="N86"/>
  <c r="N87"/>
  <c r="I87"/>
  <c r="N88"/>
  <c r="I88"/>
  <c r="N91"/>
  <c r="N97"/>
  <c r="I97"/>
  <c r="N118"/>
  <c r="I118"/>
  <c r="O54"/>
  <c r="J54"/>
  <c r="O56"/>
  <c r="J56"/>
  <c r="N124"/>
  <c r="I124"/>
  <c r="N126"/>
  <c r="L16" i="5"/>
  <c r="N16" s="1"/>
  <c r="F69" i="3" s="1"/>
  <c r="H41" i="4"/>
  <c r="H18" i="7" s="1"/>
  <c r="L36" i="5"/>
  <c r="N36" s="1"/>
  <c r="F121" i="3" s="1"/>
  <c r="G121" s="1"/>
  <c r="H121" s="1"/>
  <c r="I121" s="1"/>
  <c r="J121" s="1"/>
  <c r="K121" s="1"/>
  <c r="L121" s="1"/>
  <c r="M121" s="1"/>
  <c r="N121" s="1"/>
  <c r="O121" s="1"/>
  <c r="P121" s="1"/>
  <c r="Q121" s="1"/>
  <c r="G40" i="4"/>
  <c r="N10" i="5"/>
  <c r="F44" i="3" s="1"/>
  <c r="G30"/>
  <c r="H30" s="1"/>
  <c r="I30" s="1"/>
  <c r="J30" s="1"/>
  <c r="K30" s="1"/>
  <c r="L30" s="1"/>
  <c r="M30" s="1"/>
  <c r="N30" s="1"/>
  <c r="O30" s="1"/>
  <c r="P30" s="1"/>
  <c r="Q30" s="1"/>
  <c r="G29"/>
  <c r="H29" s="1"/>
  <c r="I29" s="1"/>
  <c r="J29" s="1"/>
  <c r="K29" s="1"/>
  <c r="L29" s="1"/>
  <c r="M29" s="1"/>
  <c r="N29" s="1"/>
  <c r="O29" s="1"/>
  <c r="P29" s="1"/>
  <c r="Q29" s="1"/>
  <c r="F17" i="6"/>
  <c r="F37" i="3" s="1"/>
  <c r="D17" i="6"/>
  <c r="F10"/>
  <c r="F11" s="1"/>
  <c r="D10"/>
  <c r="D11" s="1"/>
  <c r="D45"/>
  <c r="D44"/>
  <c r="D43"/>
  <c r="D42"/>
  <c r="F41"/>
  <c r="F40"/>
  <c r="D37"/>
  <c r="N35" i="5"/>
  <c r="F120" i="3" s="1"/>
  <c r="G120" s="1"/>
  <c r="H120" s="1"/>
  <c r="I120" s="1"/>
  <c r="J120" s="1"/>
  <c r="K120" s="1"/>
  <c r="L120" s="1"/>
  <c r="M120" s="1"/>
  <c r="N120" s="1"/>
  <c r="O120" s="1"/>
  <c r="P120" s="1"/>
  <c r="Q120" s="1"/>
  <c r="N34" i="5"/>
  <c r="F119" i="3" s="1"/>
  <c r="G119" s="1"/>
  <c r="H119" s="1"/>
  <c r="I119" s="1"/>
  <c r="J119" s="1"/>
  <c r="K119" s="1"/>
  <c r="L119" s="1"/>
  <c r="M119" s="1"/>
  <c r="N119" s="1"/>
  <c r="O119" s="1"/>
  <c r="P119" s="1"/>
  <c r="Q119" s="1"/>
  <c r="N33" i="5"/>
  <c r="F118" i="3" s="1"/>
  <c r="G118" s="1"/>
  <c r="N32" i="5"/>
  <c r="F117" i="3" s="1"/>
  <c r="G117" s="1"/>
  <c r="H117" s="1"/>
  <c r="I117" s="1"/>
  <c r="J117" s="1"/>
  <c r="K117" s="1"/>
  <c r="L117" s="1"/>
  <c r="M117" s="1"/>
  <c r="N117" s="1"/>
  <c r="O117" s="1"/>
  <c r="P117" s="1"/>
  <c r="Q117" s="1"/>
  <c r="N31" i="5"/>
  <c r="F116" i="3" s="1"/>
  <c r="G116" s="1"/>
  <c r="H116" s="1"/>
  <c r="I116" s="1"/>
  <c r="J116" s="1"/>
  <c r="K116" s="1"/>
  <c r="L116" s="1"/>
  <c r="M116" s="1"/>
  <c r="N116" s="1"/>
  <c r="O116" s="1"/>
  <c r="P116" s="1"/>
  <c r="Q116" s="1"/>
  <c r="N17" i="5"/>
  <c r="F70" i="3" s="1"/>
  <c r="N18" i="5"/>
  <c r="F71" i="3" s="1"/>
  <c r="N19" i="5"/>
  <c r="F72" i="3" s="1"/>
  <c r="N20" i="5"/>
  <c r="F73" i="3" s="1"/>
  <c r="N21" i="5"/>
  <c r="F74" i="3" s="1"/>
  <c r="N22" i="5"/>
  <c r="F75" i="3" s="1"/>
  <c r="N23" i="5"/>
  <c r="F76" i="3" s="1"/>
  <c r="N24" i="5"/>
  <c r="F77" i="3" s="1"/>
  <c r="F78"/>
  <c r="N15" i="5"/>
  <c r="F68" i="3" s="1"/>
  <c r="F32"/>
  <c r="Q204" i="16" l="1"/>
  <c r="M15" i="19"/>
  <c r="F43" i="3"/>
  <c r="F132"/>
  <c r="L50" i="11"/>
  <c r="L12" s="1"/>
  <c r="N128"/>
  <c r="N19" s="1"/>
  <c r="L57"/>
  <c r="L13" s="1"/>
  <c r="L119"/>
  <c r="L18" s="1"/>
  <c r="L45"/>
  <c r="L11" s="1"/>
  <c r="L107"/>
  <c r="L16" s="1"/>
  <c r="L128"/>
  <c r="L19" s="1"/>
  <c r="L113"/>
  <c r="L17" s="1"/>
  <c r="E17" i="16"/>
  <c r="E8"/>
  <c r="E87" i="6"/>
  <c r="E86"/>
  <c r="H132" i="12"/>
  <c r="E78" i="6"/>
  <c r="E79"/>
  <c r="E80"/>
  <c r="E81"/>
  <c r="D108" i="15"/>
  <c r="O37" i="11"/>
  <c r="O40" s="1"/>
  <c r="O10" s="1"/>
  <c r="I57"/>
  <c r="I13" s="1"/>
  <c r="I50"/>
  <c r="I12" s="1"/>
  <c r="J53"/>
  <c r="P53" s="1"/>
  <c r="H82" i="12"/>
  <c r="F43" i="6"/>
  <c r="K69"/>
  <c r="G69"/>
  <c r="I69"/>
  <c r="L69"/>
  <c r="F42"/>
  <c r="I68"/>
  <c r="L68"/>
  <c r="K68"/>
  <c r="G68"/>
  <c r="F44"/>
  <c r="I70"/>
  <c r="L70"/>
  <c r="K70"/>
  <c r="G70"/>
  <c r="F37"/>
  <c r="H37" s="1"/>
  <c r="H64"/>
  <c r="H73" s="1"/>
  <c r="K64"/>
  <c r="G64"/>
  <c r="J64"/>
  <c r="J73" s="1"/>
  <c r="L64"/>
  <c r="F45"/>
  <c r="K71"/>
  <c r="G71"/>
  <c r="I71"/>
  <c r="L71"/>
  <c r="O199" i="12"/>
  <c r="O96" s="1"/>
  <c r="P56" i="11"/>
  <c r="P54"/>
  <c r="J37"/>
  <c r="J40" s="1"/>
  <c r="J10" s="1"/>
  <c r="O207" i="12"/>
  <c r="O104" s="1"/>
  <c r="J48" i="11"/>
  <c r="P48" s="1"/>
  <c r="P50" s="1"/>
  <c r="P12" s="1"/>
  <c r="N107"/>
  <c r="N16" s="1"/>
  <c r="H71" i="12"/>
  <c r="H81"/>
  <c r="N113" i="11"/>
  <c r="N17" s="1"/>
  <c r="O126"/>
  <c r="J126"/>
  <c r="P126" s="1"/>
  <c r="O124"/>
  <c r="J124"/>
  <c r="P124" s="1"/>
  <c r="I107"/>
  <c r="I16" s="1"/>
  <c r="O104"/>
  <c r="J104"/>
  <c r="O79"/>
  <c r="P79"/>
  <c r="O125"/>
  <c r="J125"/>
  <c r="P125" s="1"/>
  <c r="O123"/>
  <c r="J123"/>
  <c r="P123" s="1"/>
  <c r="P43"/>
  <c r="P45" s="1"/>
  <c r="P11" s="1"/>
  <c r="J45"/>
  <c r="J11" s="1"/>
  <c r="O117"/>
  <c r="J117"/>
  <c r="P117" s="1"/>
  <c r="O112"/>
  <c r="P112"/>
  <c r="O111"/>
  <c r="J111"/>
  <c r="P111" s="1"/>
  <c r="I128"/>
  <c r="I19" s="1"/>
  <c r="O122"/>
  <c r="N119"/>
  <c r="N18" s="1"/>
  <c r="O118"/>
  <c r="J118"/>
  <c r="P118" s="1"/>
  <c r="O97"/>
  <c r="J97"/>
  <c r="P97" s="1"/>
  <c r="O91"/>
  <c r="P91"/>
  <c r="O88"/>
  <c r="J88"/>
  <c r="P88" s="1"/>
  <c r="O87"/>
  <c r="J87"/>
  <c r="P87" s="1"/>
  <c r="O86"/>
  <c r="J86"/>
  <c r="P86" s="1"/>
  <c r="O85"/>
  <c r="J85"/>
  <c r="P85" s="1"/>
  <c r="O84"/>
  <c r="P84"/>
  <c r="O73"/>
  <c r="J73"/>
  <c r="P73" s="1"/>
  <c r="O64"/>
  <c r="J64"/>
  <c r="P64" s="1"/>
  <c r="O62"/>
  <c r="J62"/>
  <c r="P62" s="1"/>
  <c r="I113"/>
  <c r="I17" s="1"/>
  <c r="O110"/>
  <c r="J110"/>
  <c r="O106"/>
  <c r="P106"/>
  <c r="O105"/>
  <c r="J105"/>
  <c r="P105" s="1"/>
  <c r="O60"/>
  <c r="J60"/>
  <c r="O116"/>
  <c r="J116"/>
  <c r="I119"/>
  <c r="I18" s="1"/>
  <c r="O57"/>
  <c r="O13" s="1"/>
  <c r="O50"/>
  <c r="O12" s="1"/>
  <c r="O45"/>
  <c r="O11" s="1"/>
  <c r="I41" i="4"/>
  <c r="I18" i="7" s="1"/>
  <c r="G37" i="3"/>
  <c r="H37" s="1"/>
  <c r="I37" s="1"/>
  <c r="J37" s="1"/>
  <c r="K37" s="1"/>
  <c r="L37" s="1"/>
  <c r="M37" s="1"/>
  <c r="N37" s="1"/>
  <c r="O37" s="1"/>
  <c r="P37" s="1"/>
  <c r="Q37" s="1"/>
  <c r="E41" i="4"/>
  <c r="E18" i="7" s="1"/>
  <c r="F46" i="3"/>
  <c r="F8" s="1"/>
  <c r="G44"/>
  <c r="H44" s="1"/>
  <c r="F21" i="6"/>
  <c r="G30" s="1"/>
  <c r="D18"/>
  <c r="D14"/>
  <c r="G24"/>
  <c r="E128" i="3" s="1"/>
  <c r="D21" i="6"/>
  <c r="F18"/>
  <c r="F35" i="3" s="1"/>
  <c r="F36" s="1"/>
  <c r="F14" i="6"/>
  <c r="H118" i="3"/>
  <c r="I118" s="1"/>
  <c r="J118" s="1"/>
  <c r="K118" s="1"/>
  <c r="L118" s="1"/>
  <c r="M118" s="1"/>
  <c r="N118" s="1"/>
  <c r="O118" s="1"/>
  <c r="P118" s="1"/>
  <c r="Q118" s="1"/>
  <c r="G71"/>
  <c r="H71" s="1"/>
  <c r="I71" s="1"/>
  <c r="J71" s="1"/>
  <c r="K71" s="1"/>
  <c r="L71" s="1"/>
  <c r="M71" s="1"/>
  <c r="N71" s="1"/>
  <c r="O71" s="1"/>
  <c r="P71" s="1"/>
  <c r="Q71" s="1"/>
  <c r="G76"/>
  <c r="H76" s="1"/>
  <c r="I76" s="1"/>
  <c r="J76" s="1"/>
  <c r="K76" s="1"/>
  <c r="L76" s="1"/>
  <c r="M76" s="1"/>
  <c r="N76" s="1"/>
  <c r="O76" s="1"/>
  <c r="P76" s="1"/>
  <c r="Q76" s="1"/>
  <c r="G72"/>
  <c r="H72" s="1"/>
  <c r="I72" s="1"/>
  <c r="J72" s="1"/>
  <c r="K72" s="1"/>
  <c r="L72" s="1"/>
  <c r="M72" s="1"/>
  <c r="N72" s="1"/>
  <c r="O72" s="1"/>
  <c r="P72" s="1"/>
  <c r="Q72" s="1"/>
  <c r="G77"/>
  <c r="H77" s="1"/>
  <c r="I77" s="1"/>
  <c r="J77" s="1"/>
  <c r="K77" s="1"/>
  <c r="L77" s="1"/>
  <c r="M77" s="1"/>
  <c r="N77" s="1"/>
  <c r="O77" s="1"/>
  <c r="P77" s="1"/>
  <c r="Q77" s="1"/>
  <c r="G73"/>
  <c r="H73" s="1"/>
  <c r="I73" s="1"/>
  <c r="J73" s="1"/>
  <c r="K73" s="1"/>
  <c r="L73" s="1"/>
  <c r="M73" s="1"/>
  <c r="N73" s="1"/>
  <c r="O73" s="1"/>
  <c r="P73" s="1"/>
  <c r="Q73" s="1"/>
  <c r="G78"/>
  <c r="G74"/>
  <c r="H74" s="1"/>
  <c r="I74" s="1"/>
  <c r="J74" s="1"/>
  <c r="K74" s="1"/>
  <c r="L74" s="1"/>
  <c r="M74" s="1"/>
  <c r="N74" s="1"/>
  <c r="O74" s="1"/>
  <c r="P74" s="1"/>
  <c r="Q74" s="1"/>
  <c r="G70"/>
  <c r="H70" s="1"/>
  <c r="I70" s="1"/>
  <c r="J70" s="1"/>
  <c r="K70" s="1"/>
  <c r="L70" s="1"/>
  <c r="M70" s="1"/>
  <c r="N70" s="1"/>
  <c r="O70" s="1"/>
  <c r="P70" s="1"/>
  <c r="Q70" s="1"/>
  <c r="G69"/>
  <c r="H69" s="1"/>
  <c r="I69" s="1"/>
  <c r="J69" s="1"/>
  <c r="K69" s="1"/>
  <c r="L69" s="1"/>
  <c r="M69" s="1"/>
  <c r="N69" s="1"/>
  <c r="O69" s="1"/>
  <c r="P69" s="1"/>
  <c r="Q69" s="1"/>
  <c r="G75"/>
  <c r="H75" s="1"/>
  <c r="I75" s="1"/>
  <c r="J75" s="1"/>
  <c r="K75" s="1"/>
  <c r="L75" s="1"/>
  <c r="M75" s="1"/>
  <c r="N75" s="1"/>
  <c r="O75" s="1"/>
  <c r="P75" s="1"/>
  <c r="Q75" s="1"/>
  <c r="G68"/>
  <c r="H68" s="1"/>
  <c r="I68" s="1"/>
  <c r="J68" s="1"/>
  <c r="K68" s="1"/>
  <c r="L68" s="1"/>
  <c r="M68" s="1"/>
  <c r="N68" s="1"/>
  <c r="O68" s="1"/>
  <c r="P68" s="1"/>
  <c r="Q68" s="1"/>
  <c r="G23" i="6" l="1"/>
  <c r="E127" i="3" s="1"/>
  <c r="F127" s="1"/>
  <c r="F102" s="1"/>
  <c r="G27" i="6"/>
  <c r="F131" i="3" s="1"/>
  <c r="F106" s="1"/>
  <c r="F46" i="6"/>
  <c r="Y15" i="19"/>
  <c r="Y19" s="1"/>
  <c r="M19"/>
  <c r="F39" i="6"/>
  <c r="K73"/>
  <c r="M68"/>
  <c r="O128" i="11"/>
  <c r="O19" s="1"/>
  <c r="D28" i="15"/>
  <c r="E21" i="16"/>
  <c r="E9"/>
  <c r="F8" s="1"/>
  <c r="D110" i="15"/>
  <c r="J57" i="11"/>
  <c r="J13" s="1"/>
  <c r="P37"/>
  <c r="P40" s="1"/>
  <c r="P10" s="1"/>
  <c r="O113"/>
  <c r="O17" s="1"/>
  <c r="P57"/>
  <c r="P13" s="1"/>
  <c r="L73" i="6"/>
  <c r="G73"/>
  <c r="M70"/>
  <c r="I73"/>
  <c r="M69"/>
  <c r="M71"/>
  <c r="P199" i="12"/>
  <c r="P96" s="1"/>
  <c r="P207"/>
  <c r="P104" s="1"/>
  <c r="O119" i="11"/>
  <c r="O18" s="1"/>
  <c r="J50"/>
  <c r="J12" s="1"/>
  <c r="J119"/>
  <c r="J18" s="1"/>
  <c r="P116"/>
  <c r="P119" s="1"/>
  <c r="P18" s="1"/>
  <c r="P60"/>
  <c r="P104"/>
  <c r="P107" s="1"/>
  <c r="P16" s="1"/>
  <c r="J107"/>
  <c r="J16" s="1"/>
  <c r="P110"/>
  <c r="P113" s="1"/>
  <c r="P17" s="1"/>
  <c r="J113"/>
  <c r="J17" s="1"/>
  <c r="J128"/>
  <c r="J19" s="1"/>
  <c r="P122"/>
  <c r="P128" s="1"/>
  <c r="P19" s="1"/>
  <c r="O107"/>
  <c r="O16" s="1"/>
  <c r="F38" i="3"/>
  <c r="F86" s="1"/>
  <c r="F53" s="1"/>
  <c r="G26" i="6"/>
  <c r="F130" i="3" s="1"/>
  <c r="F105" s="1"/>
  <c r="G29" i="6"/>
  <c r="G35" i="3"/>
  <c r="H35" s="1"/>
  <c r="I44"/>
  <c r="H78"/>
  <c r="F128"/>
  <c r="F103" s="1"/>
  <c r="E24" i="6"/>
  <c r="E30"/>
  <c r="E29"/>
  <c r="E26"/>
  <c r="E27"/>
  <c r="E23"/>
  <c r="F129" i="3"/>
  <c r="F104" s="1"/>
  <c r="F107"/>
  <c r="Q32"/>
  <c r="F28" i="15" l="1"/>
  <c r="F139" s="1"/>
  <c r="H28"/>
  <c r="E28"/>
  <c r="E139" s="1"/>
  <c r="G28"/>
  <c r="G139" s="1"/>
  <c r="D32"/>
  <c r="Z15" i="19"/>
  <c r="Y20"/>
  <c r="F91" i="3"/>
  <c r="F58" s="1"/>
  <c r="F92"/>
  <c r="F59" s="1"/>
  <c r="F17" i="16"/>
  <c r="G148" i="13"/>
  <c r="F94" i="3"/>
  <c r="F61" s="1"/>
  <c r="M73" i="6"/>
  <c r="D139" i="15"/>
  <c r="D141" s="1"/>
  <c r="F7" i="16"/>
  <c r="F9" s="1"/>
  <c r="G21"/>
  <c r="F11"/>
  <c r="F16"/>
  <c r="E129" i="15" s="1"/>
  <c r="F19" i="16"/>
  <c r="F10"/>
  <c r="F13"/>
  <c r="F14"/>
  <c r="E108" i="15" s="1"/>
  <c r="F18" i="16"/>
  <c r="F15"/>
  <c r="E119" i="15" s="1"/>
  <c r="F12" i="16"/>
  <c r="F108" i="15"/>
  <c r="E107"/>
  <c r="D112"/>
  <c r="Q199" i="12"/>
  <c r="Q96" s="1"/>
  <c r="Q207"/>
  <c r="F93" i="3"/>
  <c r="F60" s="1"/>
  <c r="F90"/>
  <c r="F57" s="1"/>
  <c r="F87"/>
  <c r="F54" s="1"/>
  <c r="F88"/>
  <c r="F55" s="1"/>
  <c r="F85"/>
  <c r="F52" s="1"/>
  <c r="F84"/>
  <c r="F51" s="1"/>
  <c r="F89"/>
  <c r="F56" s="1"/>
  <c r="Q129"/>
  <c r="Q43"/>
  <c r="J44"/>
  <c r="Q128"/>
  <c r="Q131"/>
  <c r="Q127"/>
  <c r="Q102" s="1"/>
  <c r="Q130"/>
  <c r="Q105" s="1"/>
  <c r="Q132"/>
  <c r="I35"/>
  <c r="I78"/>
  <c r="F110"/>
  <c r="F10" s="1"/>
  <c r="F135"/>
  <c r="H32"/>
  <c r="H43" s="1"/>
  <c r="H46" s="1"/>
  <c r="H8" s="1"/>
  <c r="G32"/>
  <c r="G43" s="1"/>
  <c r="G46" s="1"/>
  <c r="G8" s="1"/>
  <c r="K32"/>
  <c r="K43" s="1"/>
  <c r="R29"/>
  <c r="N32"/>
  <c r="N43" s="1"/>
  <c r="L32"/>
  <c r="L43" s="1"/>
  <c r="O32"/>
  <c r="O43" s="1"/>
  <c r="R30"/>
  <c r="H139" i="15" l="1"/>
  <c r="E121"/>
  <c r="C21"/>
  <c r="E131"/>
  <c r="C23"/>
  <c r="E86"/>
  <c r="E88" s="1"/>
  <c r="E90" s="1"/>
  <c r="E91" s="1"/>
  <c r="E93" s="1"/>
  <c r="F85" s="1"/>
  <c r="F88" s="1"/>
  <c r="F90" s="1"/>
  <c r="F91" s="1"/>
  <c r="F93" s="1"/>
  <c r="G85" s="1"/>
  <c r="G88" s="1"/>
  <c r="G90" s="1"/>
  <c r="G91" s="1"/>
  <c r="G93" s="1"/>
  <c r="H85" s="1"/>
  <c r="H88" s="1"/>
  <c r="H90" s="1"/>
  <c r="H91" s="1"/>
  <c r="H93" s="1"/>
  <c r="C24"/>
  <c r="E97"/>
  <c r="E99" s="1"/>
  <c r="E101" s="1"/>
  <c r="E102" s="1"/>
  <c r="E104" s="1"/>
  <c r="F96" s="1"/>
  <c r="F99" s="1"/>
  <c r="F101" s="1"/>
  <c r="F102" s="1"/>
  <c r="F104" s="1"/>
  <c r="G96" s="1"/>
  <c r="G99" s="1"/>
  <c r="G101" s="1"/>
  <c r="G102" s="1"/>
  <c r="G104" s="1"/>
  <c r="H96" s="1"/>
  <c r="H99" s="1"/>
  <c r="H101" s="1"/>
  <c r="H102" s="1"/>
  <c r="H104" s="1"/>
  <c r="E159"/>
  <c r="E161" s="1"/>
  <c r="C30"/>
  <c r="C22"/>
  <c r="E75"/>
  <c r="E77" s="1"/>
  <c r="P90" i="13"/>
  <c r="L90"/>
  <c r="H90"/>
  <c r="Q90"/>
  <c r="M90"/>
  <c r="I90"/>
  <c r="R90"/>
  <c r="N90"/>
  <c r="J90"/>
  <c r="S90"/>
  <c r="O90"/>
  <c r="K90"/>
  <c r="G90"/>
  <c r="D148"/>
  <c r="D94" i="14" s="1"/>
  <c r="R207" i="12"/>
  <c r="Q104"/>
  <c r="C28" i="15"/>
  <c r="E138"/>
  <c r="E141" s="1"/>
  <c r="D143"/>
  <c r="D144" s="1"/>
  <c r="D145" s="1"/>
  <c r="F21" i="16"/>
  <c r="E110" i="15"/>
  <c r="D113"/>
  <c r="R199" i="12"/>
  <c r="R96" s="1"/>
  <c r="F96" i="3"/>
  <c r="K44"/>
  <c r="L33"/>
  <c r="L130"/>
  <c r="L105" s="1"/>
  <c r="L127"/>
  <c r="L102" s="1"/>
  <c r="L131"/>
  <c r="L128"/>
  <c r="L129"/>
  <c r="L132"/>
  <c r="N131"/>
  <c r="N130"/>
  <c r="N105" s="1"/>
  <c r="N127"/>
  <c r="N102" s="1"/>
  <c r="N128"/>
  <c r="N132"/>
  <c r="N129"/>
  <c r="H33"/>
  <c r="H131"/>
  <c r="H106" s="1"/>
  <c r="H130"/>
  <c r="H105" s="1"/>
  <c r="H129"/>
  <c r="H104" s="1"/>
  <c r="H127"/>
  <c r="H128"/>
  <c r="H103" s="1"/>
  <c r="H132"/>
  <c r="H107" s="1"/>
  <c r="G33"/>
  <c r="G127"/>
  <c r="G130"/>
  <c r="G131"/>
  <c r="G106" s="1"/>
  <c r="G132"/>
  <c r="G107" s="1"/>
  <c r="G129"/>
  <c r="G104" s="1"/>
  <c r="G36"/>
  <c r="G128"/>
  <c r="G103" s="1"/>
  <c r="K127"/>
  <c r="K102" s="1"/>
  <c r="K131"/>
  <c r="K130"/>
  <c r="K105" s="1"/>
  <c r="K129"/>
  <c r="K128"/>
  <c r="K132"/>
  <c r="H36"/>
  <c r="H38" s="1"/>
  <c r="H86" s="1"/>
  <c r="H53" s="1"/>
  <c r="O33"/>
  <c r="O131"/>
  <c r="O127"/>
  <c r="O102" s="1"/>
  <c r="O130"/>
  <c r="O105" s="1"/>
  <c r="O128"/>
  <c r="O132"/>
  <c r="O129"/>
  <c r="J35"/>
  <c r="F63"/>
  <c r="F9" s="1"/>
  <c r="J78"/>
  <c r="E79" i="15" l="1"/>
  <c r="E80" s="1"/>
  <c r="E82" s="1"/>
  <c r="F74" s="1"/>
  <c r="F77" s="1"/>
  <c r="F79" s="1"/>
  <c r="F80" s="1"/>
  <c r="F82" s="1"/>
  <c r="G74" s="1"/>
  <c r="G77" s="1"/>
  <c r="G79" s="1"/>
  <c r="G80" s="1"/>
  <c r="G82" s="1"/>
  <c r="H74" s="1"/>
  <c r="H77" s="1"/>
  <c r="H79" s="1"/>
  <c r="H80" s="1"/>
  <c r="H82" s="1"/>
  <c r="E163"/>
  <c r="E164" s="1"/>
  <c r="E165" s="1"/>
  <c r="F158"/>
  <c r="F161" s="1"/>
  <c r="E133"/>
  <c r="E134" s="1"/>
  <c r="E135" s="1"/>
  <c r="F128"/>
  <c r="F131" s="1"/>
  <c r="E123"/>
  <c r="E124" s="1"/>
  <c r="F118"/>
  <c r="F121" s="1"/>
  <c r="D90" i="13"/>
  <c r="S207" i="12"/>
  <c r="R104"/>
  <c r="F138" i="15"/>
  <c r="F141" s="1"/>
  <c r="E143"/>
  <c r="E144" s="1"/>
  <c r="E145" s="1"/>
  <c r="H108"/>
  <c r="D115"/>
  <c r="F107"/>
  <c r="E112"/>
  <c r="S199" i="12"/>
  <c r="S96" s="1"/>
  <c r="H90" i="3"/>
  <c r="H57" s="1"/>
  <c r="H92"/>
  <c r="H59" s="1"/>
  <c r="H89"/>
  <c r="H56" s="1"/>
  <c r="H87"/>
  <c r="H54" s="1"/>
  <c r="H94"/>
  <c r="H61" s="1"/>
  <c r="H84"/>
  <c r="H51" s="1"/>
  <c r="H91"/>
  <c r="H58" s="1"/>
  <c r="H85"/>
  <c r="H88"/>
  <c r="H55" s="1"/>
  <c r="H93"/>
  <c r="H60" s="1"/>
  <c r="G38"/>
  <c r="G85" s="1"/>
  <c r="L44"/>
  <c r="K46"/>
  <c r="K8" s="1"/>
  <c r="G102"/>
  <c r="G135"/>
  <c r="H102"/>
  <c r="H110" s="1"/>
  <c r="H10" s="1"/>
  <c r="H135"/>
  <c r="G105"/>
  <c r="K35"/>
  <c r="J32"/>
  <c r="J43" s="1"/>
  <c r="J46" s="1"/>
  <c r="J8" s="1"/>
  <c r="I32"/>
  <c r="I43" s="1"/>
  <c r="I46" s="1"/>
  <c r="I8" s="1"/>
  <c r="K78"/>
  <c r="K106"/>
  <c r="K103"/>
  <c r="K104"/>
  <c r="E125" i="15" l="1"/>
  <c r="G118"/>
  <c r="F123"/>
  <c r="F124" s="1"/>
  <c r="F125" s="1"/>
  <c r="G128"/>
  <c r="F133"/>
  <c r="F134" s="1"/>
  <c r="F135" s="1"/>
  <c r="G158"/>
  <c r="G161" s="1"/>
  <c r="F163"/>
  <c r="F164" s="1"/>
  <c r="F165" s="1"/>
  <c r="T207" i="12"/>
  <c r="S104"/>
  <c r="G138" i="15"/>
  <c r="G141" s="1"/>
  <c r="F143"/>
  <c r="F144" s="1"/>
  <c r="F145" s="1"/>
  <c r="E113"/>
  <c r="T199" i="12"/>
  <c r="T96" s="1"/>
  <c r="G88" i="3"/>
  <c r="G55" s="1"/>
  <c r="G89"/>
  <c r="G56" s="1"/>
  <c r="G90"/>
  <c r="G57" s="1"/>
  <c r="G92"/>
  <c r="G59" s="1"/>
  <c r="G84"/>
  <c r="G51" s="1"/>
  <c r="G93"/>
  <c r="G60" s="1"/>
  <c r="G87"/>
  <c r="G54" s="1"/>
  <c r="G91"/>
  <c r="G58" s="1"/>
  <c r="G94"/>
  <c r="G61" s="1"/>
  <c r="G86"/>
  <c r="G53" s="1"/>
  <c r="J36"/>
  <c r="J38" s="1"/>
  <c r="J89" s="1"/>
  <c r="J56" s="1"/>
  <c r="M44"/>
  <c r="L46"/>
  <c r="L8" s="1"/>
  <c r="I33"/>
  <c r="I130"/>
  <c r="I127"/>
  <c r="I131"/>
  <c r="I106" s="1"/>
  <c r="I128"/>
  <c r="I103" s="1"/>
  <c r="I129"/>
  <c r="I104" s="1"/>
  <c r="I132"/>
  <c r="I107" s="1"/>
  <c r="I36"/>
  <c r="G110"/>
  <c r="G10" s="1"/>
  <c r="J33"/>
  <c r="J130"/>
  <c r="J105" s="1"/>
  <c r="J131"/>
  <c r="J106" s="1"/>
  <c r="J127"/>
  <c r="J128"/>
  <c r="J103" s="1"/>
  <c r="J129"/>
  <c r="J104" s="1"/>
  <c r="J132"/>
  <c r="J107" s="1"/>
  <c r="K33"/>
  <c r="J94"/>
  <c r="J61" s="1"/>
  <c r="K36"/>
  <c r="K38" s="1"/>
  <c r="L35"/>
  <c r="L78"/>
  <c r="K107"/>
  <c r="K110" s="1"/>
  <c r="K10" s="1"/>
  <c r="K135"/>
  <c r="L103"/>
  <c r="L106"/>
  <c r="L104"/>
  <c r="G163" i="15" l="1"/>
  <c r="G164" s="1"/>
  <c r="G165" s="1"/>
  <c r="H158"/>
  <c r="H161" s="1"/>
  <c r="H163" s="1"/>
  <c r="U207" i="12"/>
  <c r="T104"/>
  <c r="G143" i="15"/>
  <c r="G144" s="1"/>
  <c r="G145" s="1"/>
  <c r="H138"/>
  <c r="H141" s="1"/>
  <c r="H143" s="1"/>
  <c r="E115"/>
  <c r="F110" s="1"/>
  <c r="J91" i="3"/>
  <c r="J58" s="1"/>
  <c r="J86"/>
  <c r="J53" s="1"/>
  <c r="U199" i="12"/>
  <c r="U96" s="1"/>
  <c r="J87" i="3"/>
  <c r="J54" s="1"/>
  <c r="J90"/>
  <c r="J57" s="1"/>
  <c r="J85"/>
  <c r="J88"/>
  <c r="J55" s="1"/>
  <c r="J84"/>
  <c r="J51" s="1"/>
  <c r="J93"/>
  <c r="J60" s="1"/>
  <c r="J92"/>
  <c r="J59" s="1"/>
  <c r="I38"/>
  <c r="I88" s="1"/>
  <c r="I55" s="1"/>
  <c r="N44"/>
  <c r="I105"/>
  <c r="J102"/>
  <c r="J135"/>
  <c r="I102"/>
  <c r="I135"/>
  <c r="J110"/>
  <c r="J10" s="1"/>
  <c r="K89"/>
  <c r="K56" s="1"/>
  <c r="K94"/>
  <c r="K61" s="1"/>
  <c r="K84"/>
  <c r="K51" s="1"/>
  <c r="K85"/>
  <c r="K90"/>
  <c r="K57" s="1"/>
  <c r="K88"/>
  <c r="K55" s="1"/>
  <c r="K86"/>
  <c r="K53" s="1"/>
  <c r="K91"/>
  <c r="K58" s="1"/>
  <c r="K93"/>
  <c r="K60" s="1"/>
  <c r="K87"/>
  <c r="K54" s="1"/>
  <c r="K92"/>
  <c r="K59" s="1"/>
  <c r="L36"/>
  <c r="L38" s="1"/>
  <c r="M35"/>
  <c r="M78"/>
  <c r="L107"/>
  <c r="L110" s="1"/>
  <c r="L10" s="1"/>
  <c r="L135"/>
  <c r="H164" i="15" l="1"/>
  <c r="H165" s="1"/>
  <c r="V207" i="12"/>
  <c r="H207" s="1"/>
  <c r="U104"/>
  <c r="H144" i="15"/>
  <c r="H145" s="1"/>
  <c r="F112"/>
  <c r="G107"/>
  <c r="I86" i="3"/>
  <c r="I53" s="1"/>
  <c r="I89"/>
  <c r="I56" s="1"/>
  <c r="I94"/>
  <c r="I61" s="1"/>
  <c r="I87"/>
  <c r="I54" s="1"/>
  <c r="V199" i="12"/>
  <c r="I85" i="3"/>
  <c r="I90"/>
  <c r="I57" s="1"/>
  <c r="I93"/>
  <c r="I60" s="1"/>
  <c r="I92"/>
  <c r="I59" s="1"/>
  <c r="I91"/>
  <c r="I58" s="1"/>
  <c r="I84"/>
  <c r="I51" s="1"/>
  <c r="O44"/>
  <c r="N46"/>
  <c r="N8" s="1"/>
  <c r="I110"/>
  <c r="I10" s="1"/>
  <c r="L86"/>
  <c r="L53" s="1"/>
  <c r="L91"/>
  <c r="L58" s="1"/>
  <c r="L85"/>
  <c r="L87"/>
  <c r="L54" s="1"/>
  <c r="L92"/>
  <c r="L59" s="1"/>
  <c r="L94"/>
  <c r="L61" s="1"/>
  <c r="L88"/>
  <c r="L55" s="1"/>
  <c r="L89"/>
  <c r="L56" s="1"/>
  <c r="L90"/>
  <c r="L57" s="1"/>
  <c r="L84"/>
  <c r="L51" s="1"/>
  <c r="L93"/>
  <c r="L60" s="1"/>
  <c r="N35"/>
  <c r="N78"/>
  <c r="M32"/>
  <c r="M43" s="1"/>
  <c r="M46" s="1"/>
  <c r="M8" s="1"/>
  <c r="N103"/>
  <c r="N106"/>
  <c r="N104"/>
  <c r="N135"/>
  <c r="W199" i="12" l="1"/>
  <c r="V96"/>
  <c r="H96" s="1"/>
  <c r="L64" i="11" s="1"/>
  <c r="W207" i="12"/>
  <c r="V104"/>
  <c r="H104" s="1"/>
  <c r="L73" i="11" s="1"/>
  <c r="F113" i="15"/>
  <c r="H199" i="12"/>
  <c r="P44" i="3"/>
  <c r="O46"/>
  <c r="O8" s="1"/>
  <c r="M33"/>
  <c r="M127"/>
  <c r="M128"/>
  <c r="M103" s="1"/>
  <c r="M131"/>
  <c r="M106" s="1"/>
  <c r="M130"/>
  <c r="M132"/>
  <c r="M107" s="1"/>
  <c r="M129"/>
  <c r="M104" s="1"/>
  <c r="N33"/>
  <c r="M36"/>
  <c r="O35"/>
  <c r="N36"/>
  <c r="N38" s="1"/>
  <c r="O78"/>
  <c r="N107"/>
  <c r="N110" s="1"/>
  <c r="N10" s="1"/>
  <c r="O103"/>
  <c r="O106"/>
  <c r="O104"/>
  <c r="O135"/>
  <c r="F115" i="15" l="1"/>
  <c r="M38" i="3"/>
  <c r="M84" s="1"/>
  <c r="M51" s="1"/>
  <c r="Q44"/>
  <c r="Q46" s="1"/>
  <c r="Q8" s="1"/>
  <c r="M105"/>
  <c r="M102"/>
  <c r="M135"/>
  <c r="O36"/>
  <c r="O38" s="1"/>
  <c r="P35"/>
  <c r="N92"/>
  <c r="N59" s="1"/>
  <c r="N86"/>
  <c r="N53" s="1"/>
  <c r="N91"/>
  <c r="N58" s="1"/>
  <c r="N88"/>
  <c r="N55" s="1"/>
  <c r="N93"/>
  <c r="N60" s="1"/>
  <c r="N87"/>
  <c r="N54" s="1"/>
  <c r="N84"/>
  <c r="N51" s="1"/>
  <c r="N89"/>
  <c r="N56" s="1"/>
  <c r="N94"/>
  <c r="N61" s="1"/>
  <c r="N85"/>
  <c r="N90"/>
  <c r="N57" s="1"/>
  <c r="P78"/>
  <c r="O107"/>
  <c r="O110" s="1"/>
  <c r="O10" s="1"/>
  <c r="G23"/>
  <c r="H23"/>
  <c r="I23"/>
  <c r="J23"/>
  <c r="K23"/>
  <c r="F23"/>
  <c r="L22"/>
  <c r="M22" s="1"/>
  <c r="B15" i="1"/>
  <c r="B16" s="1"/>
  <c r="B17" s="1"/>
  <c r="B18" s="1"/>
  <c r="B19" s="1"/>
  <c r="B20" s="1"/>
  <c r="B21" s="1"/>
  <c r="B22" s="1"/>
  <c r="B23" s="1"/>
  <c r="B24" s="1"/>
  <c r="M92" i="3" l="1"/>
  <c r="M59" s="1"/>
  <c r="M91"/>
  <c r="M58" s="1"/>
  <c r="M89"/>
  <c r="M56" s="1"/>
  <c r="M94"/>
  <c r="M61" s="1"/>
  <c r="M85"/>
  <c r="M87"/>
  <c r="M54" s="1"/>
  <c r="M93"/>
  <c r="M60" s="1"/>
  <c r="M86"/>
  <c r="M53" s="1"/>
  <c r="M88"/>
  <c r="M55" s="1"/>
  <c r="M90"/>
  <c r="M57" s="1"/>
  <c r="M110"/>
  <c r="M10" s="1"/>
  <c r="O89"/>
  <c r="O56" s="1"/>
  <c r="O94"/>
  <c r="O61" s="1"/>
  <c r="O88"/>
  <c r="O55" s="1"/>
  <c r="O85"/>
  <c r="O90"/>
  <c r="O57" s="1"/>
  <c r="O92"/>
  <c r="O59" s="1"/>
  <c r="O86"/>
  <c r="O53" s="1"/>
  <c r="O91"/>
  <c r="O58" s="1"/>
  <c r="O93"/>
  <c r="O60" s="1"/>
  <c r="O87"/>
  <c r="O54" s="1"/>
  <c r="O84"/>
  <c r="O51" s="1"/>
  <c r="Q35"/>
  <c r="Q36" s="1"/>
  <c r="P32"/>
  <c r="P43" s="1"/>
  <c r="P46" s="1"/>
  <c r="P8" s="1"/>
  <c r="R8" s="1"/>
  <c r="E9" i="4" s="1"/>
  <c r="E10" i="7" s="1"/>
  <c r="Q78" i="3"/>
  <c r="Q107"/>
  <c r="Q106"/>
  <c r="Q103"/>
  <c r="Q104"/>
  <c r="Q135"/>
  <c r="G52"/>
  <c r="G96"/>
  <c r="N22"/>
  <c r="M23"/>
  <c r="L23"/>
  <c r="E25" i="7" l="1"/>
  <c r="P36" i="3"/>
  <c r="P38" s="1"/>
  <c r="P86" s="1"/>
  <c r="Q38"/>
  <c r="Q92" s="1"/>
  <c r="Q59" s="1"/>
  <c r="R46"/>
  <c r="P33"/>
  <c r="P131"/>
  <c r="P127"/>
  <c r="P130"/>
  <c r="P129"/>
  <c r="P128"/>
  <c r="P132"/>
  <c r="Q33"/>
  <c r="Q110"/>
  <c r="Q10" s="1"/>
  <c r="H52"/>
  <c r="H96"/>
  <c r="G63"/>
  <c r="G9" s="1"/>
  <c r="F12"/>
  <c r="O22"/>
  <c r="N23"/>
  <c r="Q88" l="1"/>
  <c r="Q55" s="1"/>
  <c r="N32" i="19"/>
  <c r="P84" i="3"/>
  <c r="P51" s="1"/>
  <c r="R36"/>
  <c r="P91"/>
  <c r="Q94"/>
  <c r="Q61" s="1"/>
  <c r="P87"/>
  <c r="P54" s="1"/>
  <c r="P93"/>
  <c r="P60" s="1"/>
  <c r="Q90"/>
  <c r="Q57" s="1"/>
  <c r="Q89"/>
  <c r="Q56" s="1"/>
  <c r="Q86"/>
  <c r="Q53" s="1"/>
  <c r="Q91"/>
  <c r="Q58" s="1"/>
  <c r="Q93"/>
  <c r="Q60" s="1"/>
  <c r="Q87"/>
  <c r="Q54" s="1"/>
  <c r="Q85"/>
  <c r="Q84"/>
  <c r="Q51" s="1"/>
  <c r="P94"/>
  <c r="P85"/>
  <c r="P90"/>
  <c r="P57" s="1"/>
  <c r="P88"/>
  <c r="P92"/>
  <c r="R92" s="1"/>
  <c r="P89"/>
  <c r="P56" s="1"/>
  <c r="R56" s="1"/>
  <c r="R38"/>
  <c r="P103"/>
  <c r="R103" s="1"/>
  <c r="R128"/>
  <c r="P105"/>
  <c r="R105" s="1"/>
  <c r="R130"/>
  <c r="P104"/>
  <c r="R104" s="1"/>
  <c r="R129"/>
  <c r="P106"/>
  <c r="R106" s="1"/>
  <c r="R131"/>
  <c r="P107"/>
  <c r="R132"/>
  <c r="P102"/>
  <c r="R102" s="1"/>
  <c r="R127"/>
  <c r="P135"/>
  <c r="P58"/>
  <c r="P53"/>
  <c r="H63"/>
  <c r="G12"/>
  <c r="I52"/>
  <c r="I96"/>
  <c r="F18"/>
  <c r="F17"/>
  <c r="P22"/>
  <c r="O23"/>
  <c r="O32" i="19" l="1"/>
  <c r="R88" i="3"/>
  <c r="R91"/>
  <c r="R87"/>
  <c r="B210" i="12"/>
  <c r="B206"/>
  <c r="F206" s="1"/>
  <c r="B209"/>
  <c r="B208"/>
  <c r="F208" s="1"/>
  <c r="B233"/>
  <c r="B232"/>
  <c r="B227"/>
  <c r="F227" s="1"/>
  <c r="B226"/>
  <c r="B234"/>
  <c r="B230"/>
  <c r="F230" s="1"/>
  <c r="B228"/>
  <c r="B224"/>
  <c r="F224" s="1"/>
  <c r="B215"/>
  <c r="F215" s="1"/>
  <c r="B214"/>
  <c r="B216"/>
  <c r="B212"/>
  <c r="F212" s="1"/>
  <c r="R94" i="3"/>
  <c r="R89"/>
  <c r="R86"/>
  <c r="P55"/>
  <c r="R55" s="1"/>
  <c r="R93"/>
  <c r="P59"/>
  <c r="R59" s="1"/>
  <c r="P61"/>
  <c r="R61" s="1"/>
  <c r="R57"/>
  <c r="R90"/>
  <c r="H9"/>
  <c r="H12" s="1"/>
  <c r="P110"/>
  <c r="R107"/>
  <c r="R110" s="1"/>
  <c r="R135"/>
  <c r="E30" i="4" s="1"/>
  <c r="R53" i="3"/>
  <c r="R60"/>
  <c r="R58"/>
  <c r="I63"/>
  <c r="J52"/>
  <c r="J96"/>
  <c r="F20"/>
  <c r="Q22"/>
  <c r="Q23" s="1"/>
  <c r="P23"/>
  <c r="G18"/>
  <c r="G17"/>
  <c r="P32" i="19" l="1"/>
  <c r="F113" i="12"/>
  <c r="K216"/>
  <c r="K113" s="1"/>
  <c r="F82" i="11"/>
  <c r="F112" i="12"/>
  <c r="K215"/>
  <c r="K112" s="1"/>
  <c r="F81" i="11"/>
  <c r="F125" i="12"/>
  <c r="K228"/>
  <c r="K125" s="1"/>
  <c r="F94" i="11"/>
  <c r="F131" i="12"/>
  <c r="K234"/>
  <c r="K131" s="1"/>
  <c r="F100" i="11"/>
  <c r="F124" i="12"/>
  <c r="K227"/>
  <c r="K124" s="1"/>
  <c r="F93" i="11"/>
  <c r="F130" i="12"/>
  <c r="K233"/>
  <c r="K130" s="1"/>
  <c r="F99" i="11"/>
  <c r="F106" i="12"/>
  <c r="K209"/>
  <c r="K106" s="1"/>
  <c r="F75" i="11"/>
  <c r="F107" i="12"/>
  <c r="F76" i="11"/>
  <c r="F109" i="12"/>
  <c r="K212"/>
  <c r="K109" s="1"/>
  <c r="F78" i="11"/>
  <c r="F111" i="12"/>
  <c r="F80" i="11"/>
  <c r="F121" i="12"/>
  <c r="K224"/>
  <c r="K121" s="1"/>
  <c r="F90" i="11"/>
  <c r="F127" i="12"/>
  <c r="K230"/>
  <c r="K127" s="1"/>
  <c r="F96" i="11"/>
  <c r="F123" i="12"/>
  <c r="K226"/>
  <c r="K123" s="1"/>
  <c r="F92" i="11"/>
  <c r="F129" i="12"/>
  <c r="K232"/>
  <c r="K129" s="1"/>
  <c r="F98" i="11"/>
  <c r="F105" i="12"/>
  <c r="K208"/>
  <c r="K105" s="1"/>
  <c r="D25"/>
  <c r="F74" i="11"/>
  <c r="F103" i="12"/>
  <c r="F237"/>
  <c r="K206"/>
  <c r="K103" s="1"/>
  <c r="F72" i="11"/>
  <c r="H18" i="3"/>
  <c r="H17"/>
  <c r="P10"/>
  <c r="R10" s="1"/>
  <c r="E11" i="4" s="1"/>
  <c r="E12" i="7" s="1"/>
  <c r="E27" s="1"/>
  <c r="I9" i="3"/>
  <c r="I12" s="1"/>
  <c r="J63"/>
  <c r="K52"/>
  <c r="K96"/>
  <c r="G20"/>
  <c r="Q32" i="19" l="1"/>
  <c r="F134" i="12"/>
  <c r="I17" i="3"/>
  <c r="L232" i="12"/>
  <c r="L230"/>
  <c r="G90" i="11"/>
  <c r="L214" i="12"/>
  <c r="L210"/>
  <c r="G75" i="11"/>
  <c r="L233" i="12"/>
  <c r="G93" i="11"/>
  <c r="L234" i="12"/>
  <c r="G94" i="11"/>
  <c r="L215" i="12"/>
  <c r="L206"/>
  <c r="F101" i="11"/>
  <c r="F15" s="1"/>
  <c r="F133"/>
  <c r="G74"/>
  <c r="F138"/>
  <c r="K267" i="12"/>
  <c r="K272"/>
  <c r="L208"/>
  <c r="L105" s="1"/>
  <c r="G98" i="11"/>
  <c r="L226" i="12"/>
  <c r="G96" i="11"/>
  <c r="L224" i="12"/>
  <c r="L212"/>
  <c r="G76" i="11"/>
  <c r="L209" i="12"/>
  <c r="G99" i="11"/>
  <c r="L227" i="12"/>
  <c r="G100" i="11"/>
  <c r="L228" i="12"/>
  <c r="G81" i="11"/>
  <c r="L216" i="12"/>
  <c r="H20" i="3"/>
  <c r="I18"/>
  <c r="E45" i="4"/>
  <c r="E22" i="7" s="1"/>
  <c r="J9" i="3"/>
  <c r="J12" s="1"/>
  <c r="L52"/>
  <c r="L96"/>
  <c r="K63"/>
  <c r="K9" s="1"/>
  <c r="R32" i="19" l="1"/>
  <c r="M226" i="12"/>
  <c r="L123"/>
  <c r="M214"/>
  <c r="L111"/>
  <c r="M216"/>
  <c r="L113"/>
  <c r="M228"/>
  <c r="L125"/>
  <c r="M209"/>
  <c r="L106"/>
  <c r="M234"/>
  <c r="L131"/>
  <c r="M233"/>
  <c r="L130"/>
  <c r="M210"/>
  <c r="L107"/>
  <c r="M232"/>
  <c r="L129"/>
  <c r="M227"/>
  <c r="L124"/>
  <c r="M212"/>
  <c r="L109"/>
  <c r="M206"/>
  <c r="L103"/>
  <c r="M230"/>
  <c r="L127"/>
  <c r="M224"/>
  <c r="L121"/>
  <c r="M215"/>
  <c r="L112"/>
  <c r="I20" i="3"/>
  <c r="H81" i="11"/>
  <c r="M81"/>
  <c r="M99"/>
  <c r="H99"/>
  <c r="M80"/>
  <c r="H98"/>
  <c r="M98"/>
  <c r="G138"/>
  <c r="H74"/>
  <c r="G133"/>
  <c r="M74"/>
  <c r="M93"/>
  <c r="H93"/>
  <c r="M75"/>
  <c r="M92"/>
  <c r="H100"/>
  <c r="M100"/>
  <c r="M76"/>
  <c r="M96"/>
  <c r="L267" i="12"/>
  <c r="M208"/>
  <c r="M105" s="1"/>
  <c r="L272"/>
  <c r="M72" i="11"/>
  <c r="G101"/>
  <c r="G15" s="1"/>
  <c r="M82"/>
  <c r="M94"/>
  <c r="H94"/>
  <c r="M78"/>
  <c r="M90"/>
  <c r="F45" i="4"/>
  <c r="F22" i="7" s="1"/>
  <c r="J18" i="3"/>
  <c r="J17"/>
  <c r="L63"/>
  <c r="K12"/>
  <c r="S32" i="19" s="1"/>
  <c r="M52" i="3"/>
  <c r="M96"/>
  <c r="N232" i="12" l="1"/>
  <c r="M129"/>
  <c r="N210"/>
  <c r="M107"/>
  <c r="N233"/>
  <c r="M130"/>
  <c r="N234"/>
  <c r="M131"/>
  <c r="N209"/>
  <c r="M106"/>
  <c r="N228"/>
  <c r="M125"/>
  <c r="N216"/>
  <c r="M113"/>
  <c r="N214"/>
  <c r="M111"/>
  <c r="N226"/>
  <c r="M123"/>
  <c r="N215"/>
  <c r="M112"/>
  <c r="N224"/>
  <c r="M121"/>
  <c r="N230"/>
  <c r="M127"/>
  <c r="N206"/>
  <c r="M103"/>
  <c r="N212"/>
  <c r="M109"/>
  <c r="N227"/>
  <c r="M124"/>
  <c r="K17" i="3"/>
  <c r="N90" i="11"/>
  <c r="I90"/>
  <c r="N78"/>
  <c r="N94"/>
  <c r="I94"/>
  <c r="N82"/>
  <c r="I82"/>
  <c r="N72"/>
  <c r="H101"/>
  <c r="H15" s="1"/>
  <c r="M267" i="12"/>
  <c r="N208"/>
  <c r="N105" s="1"/>
  <c r="M272"/>
  <c r="I98" i="11"/>
  <c r="N98"/>
  <c r="I81"/>
  <c r="N81"/>
  <c r="I96"/>
  <c r="N96"/>
  <c r="I76"/>
  <c r="N76"/>
  <c r="I100"/>
  <c r="N100"/>
  <c r="N92"/>
  <c r="N75"/>
  <c r="N93"/>
  <c r="I93"/>
  <c r="N74"/>
  <c r="H138"/>
  <c r="H133"/>
  <c r="I74"/>
  <c r="N80"/>
  <c r="N99"/>
  <c r="I99"/>
  <c r="M101"/>
  <c r="M15" s="1"/>
  <c r="G45" i="4"/>
  <c r="G22" i="7" s="1"/>
  <c r="J20" i="3"/>
  <c r="L9"/>
  <c r="L12" s="1"/>
  <c r="T32" i="19" s="1"/>
  <c r="M63" i="3"/>
  <c r="K18"/>
  <c r="N52"/>
  <c r="N96"/>
  <c r="K20" l="1"/>
  <c r="O234" i="12"/>
  <c r="N131"/>
  <c r="O233"/>
  <c r="N130"/>
  <c r="O210"/>
  <c r="N107"/>
  <c r="O232"/>
  <c r="N129"/>
  <c r="O226"/>
  <c r="N123"/>
  <c r="O214"/>
  <c r="N111"/>
  <c r="O216"/>
  <c r="N113"/>
  <c r="O228"/>
  <c r="N125"/>
  <c r="O209"/>
  <c r="N106"/>
  <c r="O227"/>
  <c r="N124"/>
  <c r="O212"/>
  <c r="N109"/>
  <c r="O206"/>
  <c r="N103"/>
  <c r="O230"/>
  <c r="N127"/>
  <c r="O224"/>
  <c r="N121"/>
  <c r="O215"/>
  <c r="N112"/>
  <c r="J93" i="11"/>
  <c r="P93" s="1"/>
  <c r="O93"/>
  <c r="J92"/>
  <c r="P92" s="1"/>
  <c r="O92"/>
  <c r="J81"/>
  <c r="P81" s="1"/>
  <c r="O81"/>
  <c r="J98"/>
  <c r="P98" s="1"/>
  <c r="O98"/>
  <c r="J100"/>
  <c r="P100" s="1"/>
  <c r="O100"/>
  <c r="J76"/>
  <c r="P76" s="1"/>
  <c r="O76"/>
  <c r="J96"/>
  <c r="P96" s="1"/>
  <c r="O96"/>
  <c r="N267" i="12"/>
  <c r="N272"/>
  <c r="O208"/>
  <c r="O105" s="1"/>
  <c r="O72" i="11"/>
  <c r="I101"/>
  <c r="I15" s="1"/>
  <c r="N101"/>
  <c r="N15" s="1"/>
  <c r="J99"/>
  <c r="P99" s="1"/>
  <c r="O99"/>
  <c r="P80"/>
  <c r="O80"/>
  <c r="I133"/>
  <c r="I138"/>
  <c r="J74"/>
  <c r="O74"/>
  <c r="P75"/>
  <c r="O75"/>
  <c r="O82"/>
  <c r="J82"/>
  <c r="P82" s="1"/>
  <c r="J94"/>
  <c r="P94" s="1"/>
  <c r="O94"/>
  <c r="O78"/>
  <c r="P78"/>
  <c r="J90"/>
  <c r="P90" s="1"/>
  <c r="O90"/>
  <c r="H45" i="4"/>
  <c r="H22" i="7" s="1"/>
  <c r="L18" i="3"/>
  <c r="L17"/>
  <c r="M9"/>
  <c r="M12" s="1"/>
  <c r="U32" i="19" s="1"/>
  <c r="N63" i="3"/>
  <c r="O52"/>
  <c r="O96"/>
  <c r="P228" i="12" l="1"/>
  <c r="O125"/>
  <c r="O111"/>
  <c r="P232"/>
  <c r="O129"/>
  <c r="P233"/>
  <c r="O130"/>
  <c r="P234"/>
  <c r="O131"/>
  <c r="P209"/>
  <c r="O106"/>
  <c r="P216"/>
  <c r="O113"/>
  <c r="P226"/>
  <c r="O123"/>
  <c r="R210"/>
  <c r="O107"/>
  <c r="P215"/>
  <c r="O112"/>
  <c r="P230"/>
  <c r="O127"/>
  <c r="P212"/>
  <c r="O109"/>
  <c r="P224"/>
  <c r="O121"/>
  <c r="P206"/>
  <c r="O103"/>
  <c r="P227"/>
  <c r="O124"/>
  <c r="P74" i="11"/>
  <c r="J133"/>
  <c r="J138"/>
  <c r="O267" i="12"/>
  <c r="O272"/>
  <c r="P208"/>
  <c r="P105" s="1"/>
  <c r="O101" i="11"/>
  <c r="O15" s="1"/>
  <c r="P72"/>
  <c r="J101"/>
  <c r="J15" s="1"/>
  <c r="I45" i="4"/>
  <c r="I22" i="7" s="1"/>
  <c r="L20" i="3"/>
  <c r="M18"/>
  <c r="M17"/>
  <c r="N9"/>
  <c r="N12" s="1"/>
  <c r="V32" i="19" s="1"/>
  <c r="O63" i="3"/>
  <c r="P52"/>
  <c r="P96"/>
  <c r="R84"/>
  <c r="Q234" i="12" l="1"/>
  <c r="P131"/>
  <c r="Q233"/>
  <c r="P130"/>
  <c r="Q232"/>
  <c r="P129"/>
  <c r="S214"/>
  <c r="R111"/>
  <c r="Q228"/>
  <c r="P125"/>
  <c r="S210"/>
  <c r="R107"/>
  <c r="Q226"/>
  <c r="P123"/>
  <c r="Q216"/>
  <c r="P113"/>
  <c r="Q209"/>
  <c r="P106"/>
  <c r="Q227"/>
  <c r="P124"/>
  <c r="Q206"/>
  <c r="P103"/>
  <c r="Q224"/>
  <c r="P121"/>
  <c r="Q212"/>
  <c r="P109"/>
  <c r="Q230"/>
  <c r="P127"/>
  <c r="Q215"/>
  <c r="P112"/>
  <c r="P101" i="11"/>
  <c r="P15" s="1"/>
  <c r="P267" i="12"/>
  <c r="Q208"/>
  <c r="Q105" s="1"/>
  <c r="P272"/>
  <c r="M20" i="3"/>
  <c r="N17"/>
  <c r="N18"/>
  <c r="O9"/>
  <c r="O12" s="1"/>
  <c r="W32" i="19" s="1"/>
  <c r="P63" i="3"/>
  <c r="Q52"/>
  <c r="Q96"/>
  <c r="R51"/>
  <c r="R85"/>
  <c r="R96" s="1"/>
  <c r="E29" i="4" s="1"/>
  <c r="B201" i="12" s="1"/>
  <c r="R54" i="3"/>
  <c r="R216" i="12" l="1"/>
  <c r="Q113"/>
  <c r="T210"/>
  <c r="S107"/>
  <c r="T214"/>
  <c r="S111"/>
  <c r="R233"/>
  <c r="Q130"/>
  <c r="R234"/>
  <c r="Q131"/>
  <c r="R209"/>
  <c r="Q106"/>
  <c r="R226"/>
  <c r="Q123"/>
  <c r="R228"/>
  <c r="Q125"/>
  <c r="R232"/>
  <c r="Q129"/>
  <c r="R215"/>
  <c r="Q112"/>
  <c r="R212"/>
  <c r="Q109"/>
  <c r="R206"/>
  <c r="Q103"/>
  <c r="R230"/>
  <c r="Q127"/>
  <c r="R224"/>
  <c r="Q121"/>
  <c r="R227"/>
  <c r="Q124"/>
  <c r="Q267"/>
  <c r="Q272"/>
  <c r="R208"/>
  <c r="R105" s="1"/>
  <c r="B198"/>
  <c r="B200"/>
  <c r="F200" s="1"/>
  <c r="B202"/>
  <c r="F202" s="1"/>
  <c r="B196"/>
  <c r="N20" i="3"/>
  <c r="O18"/>
  <c r="O17"/>
  <c r="P9"/>
  <c r="P12" s="1"/>
  <c r="R43"/>
  <c r="E28" i="4" s="1"/>
  <c r="Q63" i="3"/>
  <c r="Q9" s="1"/>
  <c r="R52"/>
  <c r="R63" s="1"/>
  <c r="X32" i="19" l="1"/>
  <c r="D13" i="21"/>
  <c r="S234" i="12"/>
  <c r="R131"/>
  <c r="S233"/>
  <c r="R130"/>
  <c r="U214"/>
  <c r="T111"/>
  <c r="U210"/>
  <c r="T107"/>
  <c r="S216"/>
  <c r="R113"/>
  <c r="S232"/>
  <c r="R129"/>
  <c r="S228"/>
  <c r="R125"/>
  <c r="S226"/>
  <c r="R123"/>
  <c r="S209"/>
  <c r="R106"/>
  <c r="D21"/>
  <c r="S206"/>
  <c r="R103"/>
  <c r="S212"/>
  <c r="R109"/>
  <c r="S215"/>
  <c r="R112"/>
  <c r="S227"/>
  <c r="R124"/>
  <c r="S224"/>
  <c r="R121"/>
  <c r="S230"/>
  <c r="R127"/>
  <c r="R267"/>
  <c r="S208"/>
  <c r="S105" s="1"/>
  <c r="R272"/>
  <c r="E42" i="4"/>
  <c r="E19" i="7" s="1"/>
  <c r="E21" i="4"/>
  <c r="D14" i="12"/>
  <c r="H14" s="1"/>
  <c r="D18"/>
  <c r="H18" s="1"/>
  <c r="D15"/>
  <c r="H15" s="1"/>
  <c r="D17"/>
  <c r="H17" s="1"/>
  <c r="D12"/>
  <c r="D16"/>
  <c r="H16" s="1"/>
  <c r="F18"/>
  <c r="F15"/>
  <c r="F16"/>
  <c r="F17"/>
  <c r="F12"/>
  <c r="F97"/>
  <c r="D28"/>
  <c r="K200"/>
  <c r="K97" s="1"/>
  <c r="K158" s="1"/>
  <c r="M22" i="19" s="1"/>
  <c r="F65" i="11"/>
  <c r="F98" i="12"/>
  <c r="D26"/>
  <c r="F66" i="11"/>
  <c r="F99" i="12"/>
  <c r="F67" i="11"/>
  <c r="F95" i="12"/>
  <c r="D27"/>
  <c r="F63" i="11"/>
  <c r="O20" i="3"/>
  <c r="F28" i="4"/>
  <c r="F21" s="1"/>
  <c r="E43"/>
  <c r="E20" i="7" s="1"/>
  <c r="P18" i="3"/>
  <c r="P17"/>
  <c r="R32"/>
  <c r="E37" i="4" s="1"/>
  <c r="Q12" i="3"/>
  <c r="E39" i="4" l="1"/>
  <c r="E16" i="7"/>
  <c r="E17" s="1"/>
  <c r="Q17" i="3"/>
  <c r="R17" s="1"/>
  <c r="T226" i="12"/>
  <c r="S123"/>
  <c r="T232"/>
  <c r="S129"/>
  <c r="V210"/>
  <c r="U107"/>
  <c r="T233"/>
  <c r="S130"/>
  <c r="T234"/>
  <c r="S131"/>
  <c r="T209"/>
  <c r="S106"/>
  <c r="T228"/>
  <c r="S125"/>
  <c r="T216"/>
  <c r="S113"/>
  <c r="V214"/>
  <c r="U111"/>
  <c r="T230"/>
  <c r="S127"/>
  <c r="T227"/>
  <c r="S124"/>
  <c r="T212"/>
  <c r="S109"/>
  <c r="T224"/>
  <c r="S121"/>
  <c r="T215"/>
  <c r="S112"/>
  <c r="T206"/>
  <c r="S103"/>
  <c r="S267"/>
  <c r="S272"/>
  <c r="T208"/>
  <c r="T105" s="1"/>
  <c r="L198"/>
  <c r="R202"/>
  <c r="F132" i="11"/>
  <c r="F137"/>
  <c r="K266" i="12"/>
  <c r="H138" i="13" s="1"/>
  <c r="K271" i="12"/>
  <c r="L200"/>
  <c r="F93"/>
  <c r="F133" s="1"/>
  <c r="D24"/>
  <c r="F236"/>
  <c r="D13" s="1"/>
  <c r="D19" s="1"/>
  <c r="F61" i="11"/>
  <c r="G65"/>
  <c r="H12" i="12"/>
  <c r="F43" i="4"/>
  <c r="F20" i="7" s="1"/>
  <c r="G42" i="4"/>
  <c r="G19" i="7" s="1"/>
  <c r="F37" i="4"/>
  <c r="E52" i="14"/>
  <c r="F30" i="4"/>
  <c r="F11" s="1"/>
  <c r="F12" i="7" s="1"/>
  <c r="F27" s="1"/>
  <c r="F29" i="4"/>
  <c r="P20" i="3"/>
  <c r="G28" i="4"/>
  <c r="G21" s="1"/>
  <c r="R9" i="3"/>
  <c r="Q18"/>
  <c r="R18" s="1"/>
  <c r="F39" i="4" l="1"/>
  <c r="F16" i="7"/>
  <c r="F17" s="1"/>
  <c r="M198" i="12"/>
  <c r="L95"/>
  <c r="U234"/>
  <c r="T131"/>
  <c r="U233"/>
  <c r="T130"/>
  <c r="W210"/>
  <c r="V107"/>
  <c r="H107" s="1"/>
  <c r="L76" i="11" s="1"/>
  <c r="H210" i="12"/>
  <c r="U232"/>
  <c r="T129"/>
  <c r="U226"/>
  <c r="T123"/>
  <c r="S202"/>
  <c r="R99"/>
  <c r="W214"/>
  <c r="V111"/>
  <c r="H111" s="1"/>
  <c r="L80" i="11" s="1"/>
  <c r="H214" i="12"/>
  <c r="U216"/>
  <c r="T113"/>
  <c r="U228"/>
  <c r="T125"/>
  <c r="U209"/>
  <c r="T106"/>
  <c r="M200"/>
  <c r="L97"/>
  <c r="U206"/>
  <c r="T103"/>
  <c r="U215"/>
  <c r="T112"/>
  <c r="U224"/>
  <c r="T121"/>
  <c r="U212"/>
  <c r="T109"/>
  <c r="U227"/>
  <c r="T124"/>
  <c r="U230"/>
  <c r="T127"/>
  <c r="D129" i="14"/>
  <c r="E53"/>
  <c r="T267" i="12"/>
  <c r="U208"/>
  <c r="U105" s="1"/>
  <c r="T272"/>
  <c r="G25"/>
  <c r="G22"/>
  <c r="G26"/>
  <c r="G27"/>
  <c r="G28"/>
  <c r="H80" i="13"/>
  <c r="M63" i="11"/>
  <c r="G137"/>
  <c r="G132"/>
  <c r="E129" i="14" s="1"/>
  <c r="E84" s="1"/>
  <c r="M66" i="11"/>
  <c r="G21" i="12"/>
  <c r="M65" i="11"/>
  <c r="F136"/>
  <c r="F68"/>
  <c r="F14" s="1"/>
  <c r="F135"/>
  <c r="F131"/>
  <c r="K269" i="12"/>
  <c r="K265"/>
  <c r="H137" i="13" s="1"/>
  <c r="K270" i="12"/>
  <c r="K264"/>
  <c r="D29"/>
  <c r="G24"/>
  <c r="L266"/>
  <c r="I138" i="13" s="1"/>
  <c r="I80" s="1"/>
  <c r="L271" i="12"/>
  <c r="M67" i="11"/>
  <c r="G43" i="4"/>
  <c r="G20" i="7" s="1"/>
  <c r="G37" i="4"/>
  <c r="F52" i="14"/>
  <c r="H42" i="4"/>
  <c r="H19" i="7" s="1"/>
  <c r="F9" i="4"/>
  <c r="F10" i="7" s="1"/>
  <c r="G30" i="4"/>
  <c r="G11" s="1"/>
  <c r="G12" i="7" s="1"/>
  <c r="G27" s="1"/>
  <c r="G29" i="4"/>
  <c r="H28"/>
  <c r="H21" s="1"/>
  <c r="R12" i="3"/>
  <c r="E10" i="4"/>
  <c r="E11" i="7" s="1"/>
  <c r="R20" i="3"/>
  <c r="Q20"/>
  <c r="F25" i="7" l="1"/>
  <c r="E26"/>
  <c r="E29" s="1"/>
  <c r="E14"/>
  <c r="G39" i="4"/>
  <c r="G16" i="7"/>
  <c r="G17" s="1"/>
  <c r="G52" i="14" s="1"/>
  <c r="V228" i="12"/>
  <c r="U125"/>
  <c r="T202"/>
  <c r="S99"/>
  <c r="V232"/>
  <c r="U129"/>
  <c r="V233"/>
  <c r="U130"/>
  <c r="V234"/>
  <c r="H234" s="1"/>
  <c r="U131"/>
  <c r="N198"/>
  <c r="M95"/>
  <c r="V209"/>
  <c r="U106"/>
  <c r="V216"/>
  <c r="U113"/>
  <c r="V226"/>
  <c r="U123"/>
  <c r="L158"/>
  <c r="N22" i="19" s="1"/>
  <c r="V227" i="12"/>
  <c r="U124"/>
  <c r="V224"/>
  <c r="U121"/>
  <c r="V206"/>
  <c r="U103"/>
  <c r="N200"/>
  <c r="M97"/>
  <c r="V230"/>
  <c r="U127"/>
  <c r="V212"/>
  <c r="U109"/>
  <c r="V215"/>
  <c r="U112"/>
  <c r="D128" i="14"/>
  <c r="K268" i="12"/>
  <c r="H139" i="13" s="1"/>
  <c r="H141" s="1"/>
  <c r="G29" i="12"/>
  <c r="F53" i="14"/>
  <c r="U267" i="12"/>
  <c r="U272"/>
  <c r="V208"/>
  <c r="H98"/>
  <c r="L66" i="11" s="1"/>
  <c r="H79" i="13"/>
  <c r="G131" i="11"/>
  <c r="E128" i="14" s="1"/>
  <c r="M61" i="11"/>
  <c r="M68" s="1"/>
  <c r="M14" s="1"/>
  <c r="M20" s="1"/>
  <c r="M21" s="1"/>
  <c r="M22" s="1"/>
  <c r="G68"/>
  <c r="G14" s="1"/>
  <c r="G20" s="1"/>
  <c r="G136"/>
  <c r="G135"/>
  <c r="N65"/>
  <c r="I65"/>
  <c r="H137"/>
  <c r="H132"/>
  <c r="F129" i="14" s="1"/>
  <c r="F84" s="1"/>
  <c r="N66" i="11"/>
  <c r="N67"/>
  <c r="H122" i="13"/>
  <c r="H113"/>
  <c r="H114"/>
  <c r="M266" i="12"/>
  <c r="J138" i="13" s="1"/>
  <c r="J80" s="1"/>
  <c r="M271" i="12"/>
  <c r="L270"/>
  <c r="L265"/>
  <c r="I137" i="13" s="1"/>
  <c r="L264" i="12"/>
  <c r="L269"/>
  <c r="F134" i="11"/>
  <c r="F20"/>
  <c r="H13" i="12"/>
  <c r="N63" i="11"/>
  <c r="I42" i="4"/>
  <c r="I19" i="7" s="1"/>
  <c r="H43" i="4"/>
  <c r="H37"/>
  <c r="G9"/>
  <c r="G10" i="7" s="1"/>
  <c r="E44" i="4"/>
  <c r="E21" i="7" s="1"/>
  <c r="H30" i="4"/>
  <c r="H11" s="1"/>
  <c r="H12" i="7" s="1"/>
  <c r="H27" s="1"/>
  <c r="H29" i="4"/>
  <c r="I28"/>
  <c r="I21" s="1"/>
  <c r="E13"/>
  <c r="E35" i="7" l="1"/>
  <c r="H9" i="4"/>
  <c r="H10" i="7" s="1"/>
  <c r="H20"/>
  <c r="F38"/>
  <c r="F26" i="20"/>
  <c r="G25" i="7"/>
  <c r="H39" i="4"/>
  <c r="H16" i="7"/>
  <c r="H17" s="1"/>
  <c r="H52" i="14" s="1"/>
  <c r="E13" i="20"/>
  <c r="E9"/>
  <c r="E11"/>
  <c r="E36" i="24"/>
  <c r="W234" i="12"/>
  <c r="V131"/>
  <c r="H131" s="1"/>
  <c r="L100" i="11" s="1"/>
  <c r="W233" i="12"/>
  <c r="V130"/>
  <c r="H130" s="1"/>
  <c r="L99" i="11" s="1"/>
  <c r="H233" i="12"/>
  <c r="W232"/>
  <c r="V129"/>
  <c r="H129" s="1"/>
  <c r="L98" i="11" s="1"/>
  <c r="H232" i="12"/>
  <c r="U202"/>
  <c r="T99"/>
  <c r="W228"/>
  <c r="V125"/>
  <c r="H125" s="1"/>
  <c r="L94" i="11" s="1"/>
  <c r="H228" i="12"/>
  <c r="M158"/>
  <c r="O22" i="19" s="1"/>
  <c r="W226" i="12"/>
  <c r="V123"/>
  <c r="H123" s="1"/>
  <c r="L92" i="11" s="1"/>
  <c r="H226" i="12"/>
  <c r="W216"/>
  <c r="V113"/>
  <c r="H113" s="1"/>
  <c r="L82" i="11" s="1"/>
  <c r="H216" i="12"/>
  <c r="W209"/>
  <c r="V106"/>
  <c r="H106" s="1"/>
  <c r="L75" i="11" s="1"/>
  <c r="H209" i="12"/>
  <c r="O198"/>
  <c r="N95"/>
  <c r="W215"/>
  <c r="V112"/>
  <c r="H112" s="1"/>
  <c r="L81" i="11" s="1"/>
  <c r="H215" i="12"/>
  <c r="W212"/>
  <c r="V109"/>
  <c r="H109" s="1"/>
  <c r="L78" i="11" s="1"/>
  <c r="H212" i="12"/>
  <c r="W230"/>
  <c r="V127"/>
  <c r="H127" s="1"/>
  <c r="L96" i="11" s="1"/>
  <c r="H230" i="12"/>
  <c r="O200"/>
  <c r="N97"/>
  <c r="W206"/>
  <c r="V103"/>
  <c r="H103" s="1"/>
  <c r="H206"/>
  <c r="W224"/>
  <c r="V121"/>
  <c r="H121" s="1"/>
  <c r="L90" i="11" s="1"/>
  <c r="H224" i="12"/>
  <c r="W227"/>
  <c r="V124"/>
  <c r="H124" s="1"/>
  <c r="L93" i="11" s="1"/>
  <c r="H227" i="12"/>
  <c r="D130" i="14"/>
  <c r="D132" s="1"/>
  <c r="W208" i="12"/>
  <c r="V105"/>
  <c r="H105" s="1"/>
  <c r="L74" i="11" s="1"/>
  <c r="D19" i="13"/>
  <c r="G121" s="1"/>
  <c r="D34" i="15"/>
  <c r="AC191" i="16"/>
  <c r="AD191" s="1"/>
  <c r="AC175"/>
  <c r="AD175" s="1"/>
  <c r="AC176"/>
  <c r="AD176" s="1"/>
  <c r="AC360"/>
  <c r="AD360" s="1"/>
  <c r="AC344"/>
  <c r="AD344" s="1"/>
  <c r="AC345"/>
  <c r="AD345" s="1"/>
  <c r="D149" i="15"/>
  <c r="M23" i="11"/>
  <c r="H81" i="13"/>
  <c r="H83" s="1"/>
  <c r="M26" i="19" s="1"/>
  <c r="G123" i="13"/>
  <c r="G117"/>
  <c r="G157"/>
  <c r="E116" i="14"/>
  <c r="E63" s="1"/>
  <c r="E122"/>
  <c r="E115"/>
  <c r="E83"/>
  <c r="G53"/>
  <c r="G134" i="11"/>
  <c r="E130" i="14" s="1"/>
  <c r="V267" i="12"/>
  <c r="L133" i="11" s="1"/>
  <c r="V272" i="12"/>
  <c r="L138" i="11" s="1"/>
  <c r="H208" i="12"/>
  <c r="D78" i="14"/>
  <c r="D81" s="1"/>
  <c r="E46" i="4"/>
  <c r="E22" s="1"/>
  <c r="G153" i="13" s="1"/>
  <c r="P63" i="11"/>
  <c r="O63"/>
  <c r="M270" i="12"/>
  <c r="M269"/>
  <c r="M264"/>
  <c r="M265"/>
  <c r="J137" i="13" s="1"/>
  <c r="I114"/>
  <c r="I56" s="1"/>
  <c r="I113"/>
  <c r="I122"/>
  <c r="I79"/>
  <c r="N266" i="12"/>
  <c r="K138" i="13" s="1"/>
  <c r="K80" s="1"/>
  <c r="N271" i="12"/>
  <c r="H56" i="13"/>
  <c r="H64"/>
  <c r="H125"/>
  <c r="J65" i="11"/>
  <c r="P65" s="1"/>
  <c r="O65"/>
  <c r="H136"/>
  <c r="H131"/>
  <c r="F128" i="14" s="1"/>
  <c r="F83" s="1"/>
  <c r="H135" i="11"/>
  <c r="N61"/>
  <c r="N68" s="1"/>
  <c r="N14" s="1"/>
  <c r="N20" s="1"/>
  <c r="N21" s="1"/>
  <c r="N22" s="1"/>
  <c r="H68"/>
  <c r="H14" s="1"/>
  <c r="H20" s="1"/>
  <c r="L268" i="12"/>
  <c r="I139" i="13" s="1"/>
  <c r="I141" s="1"/>
  <c r="H118"/>
  <c r="H55"/>
  <c r="O67" i="11"/>
  <c r="P67"/>
  <c r="I137"/>
  <c r="I132"/>
  <c r="G129" i="14" s="1"/>
  <c r="G84" s="1"/>
  <c r="O66" i="11"/>
  <c r="I37" i="4"/>
  <c r="I16" i="7" s="1"/>
  <c r="I17" s="1"/>
  <c r="I43" i="4"/>
  <c r="I20" i="7" s="1"/>
  <c r="F44" i="4"/>
  <c r="F21" i="7" s="1"/>
  <c r="I30" i="4"/>
  <c r="I11" s="1"/>
  <c r="I12" i="7" s="1"/>
  <c r="I27" s="1"/>
  <c r="I29" i="4"/>
  <c r="H25" i="7" l="1"/>
  <c r="G26" i="20"/>
  <c r="G17" i="24" s="1"/>
  <c r="G38" i="7"/>
  <c r="Q198" i="12"/>
  <c r="O95"/>
  <c r="V202"/>
  <c r="U99"/>
  <c r="N158"/>
  <c r="P22" i="19" s="1"/>
  <c r="H237" i="12"/>
  <c r="F14" s="1"/>
  <c r="L72" i="11"/>
  <c r="L101" s="1"/>
  <c r="L15" s="1"/>
  <c r="H134" i="12"/>
  <c r="P200"/>
  <c r="O97"/>
  <c r="E71" i="14"/>
  <c r="E34" i="15"/>
  <c r="E35" s="1"/>
  <c r="E64" s="1"/>
  <c r="E14" i="24"/>
  <c r="D10" i="21"/>
  <c r="E149" i="15"/>
  <c r="E32"/>
  <c r="D151"/>
  <c r="D10"/>
  <c r="E21" i="24" s="1"/>
  <c r="N23" i="11"/>
  <c r="I9" i="4"/>
  <c r="I10" i="7" s="1"/>
  <c r="D153" i="13"/>
  <c r="O95"/>
  <c r="N95"/>
  <c r="Q95"/>
  <c r="J95"/>
  <c r="I95"/>
  <c r="L95"/>
  <c r="K95"/>
  <c r="M95"/>
  <c r="G95"/>
  <c r="R95"/>
  <c r="P95"/>
  <c r="H95"/>
  <c r="S95"/>
  <c r="E124" i="14"/>
  <c r="E72"/>
  <c r="R99" i="13"/>
  <c r="I99"/>
  <c r="H99"/>
  <c r="K99"/>
  <c r="P99"/>
  <c r="S99"/>
  <c r="N99"/>
  <c r="G99"/>
  <c r="D157"/>
  <c r="D105" i="14" s="1"/>
  <c r="L99" i="13"/>
  <c r="Q99"/>
  <c r="J99"/>
  <c r="O99"/>
  <c r="M99"/>
  <c r="L65"/>
  <c r="N65"/>
  <c r="P65"/>
  <c r="I65"/>
  <c r="M65"/>
  <c r="Q65"/>
  <c r="S65"/>
  <c r="R65"/>
  <c r="J65"/>
  <c r="H65"/>
  <c r="G65"/>
  <c r="K65"/>
  <c r="O65"/>
  <c r="D123"/>
  <c r="D73" i="14" s="1"/>
  <c r="F122"/>
  <c r="F115"/>
  <c r="F116"/>
  <c r="F63" s="1"/>
  <c r="E118"/>
  <c r="E62"/>
  <c r="S59" i="13"/>
  <c r="M59"/>
  <c r="J59"/>
  <c r="R59"/>
  <c r="N59"/>
  <c r="Q59"/>
  <c r="D117"/>
  <c r="D66" i="14" s="1"/>
  <c r="H59" i="13"/>
  <c r="P59"/>
  <c r="K59"/>
  <c r="I59"/>
  <c r="L59"/>
  <c r="G59"/>
  <c r="O59"/>
  <c r="E132" i="14"/>
  <c r="E85"/>
  <c r="E87" s="1"/>
  <c r="H53"/>
  <c r="D121" i="13"/>
  <c r="D71" i="14" s="1"/>
  <c r="P63" i="13"/>
  <c r="L63"/>
  <c r="H63"/>
  <c r="Q63"/>
  <c r="M63"/>
  <c r="I63"/>
  <c r="R63"/>
  <c r="N63"/>
  <c r="J63"/>
  <c r="S63"/>
  <c r="O63"/>
  <c r="K63"/>
  <c r="G63"/>
  <c r="I131" i="11"/>
  <c r="G128" i="14" s="1"/>
  <c r="G83" s="1"/>
  <c r="I136" i="11"/>
  <c r="I135"/>
  <c r="O61"/>
  <c r="O68" s="1"/>
  <c r="O14" s="1"/>
  <c r="O20" s="1"/>
  <c r="O21" s="1"/>
  <c r="O22" s="1"/>
  <c r="I68"/>
  <c r="I14" s="1"/>
  <c r="I20" s="1"/>
  <c r="O266" i="12"/>
  <c r="L138" i="13" s="1"/>
  <c r="O271" i="12"/>
  <c r="I64" i="13"/>
  <c r="I125"/>
  <c r="N270" i="12"/>
  <c r="N265"/>
  <c r="K137" i="13" s="1"/>
  <c r="O196" i="12"/>
  <c r="O93" s="1"/>
  <c r="N269"/>
  <c r="N264"/>
  <c r="J114" i="13"/>
  <c r="J113"/>
  <c r="J122"/>
  <c r="P66" i="11"/>
  <c r="J137"/>
  <c r="J132"/>
  <c r="H129" i="14" s="1"/>
  <c r="H84" s="1"/>
  <c r="I81" i="13"/>
  <c r="I83" s="1"/>
  <c r="N26" i="19" s="1"/>
  <c r="I55" i="13"/>
  <c r="I118"/>
  <c r="J79"/>
  <c r="H134" i="11"/>
  <c r="F130" i="14" s="1"/>
  <c r="M268" i="12"/>
  <c r="J139" i="13" s="1"/>
  <c r="J81" s="1"/>
  <c r="I52" i="14"/>
  <c r="I39" i="4"/>
  <c r="G44"/>
  <c r="G21" i="7" s="1"/>
  <c r="F10" i="4"/>
  <c r="F11" i="7" s="1"/>
  <c r="H38" l="1"/>
  <c r="H26" i="20"/>
  <c r="H17" i="24" s="1"/>
  <c r="I25" i="7"/>
  <c r="F26"/>
  <c r="F29" s="1"/>
  <c r="F14"/>
  <c r="D12" i="15"/>
  <c r="E17" i="20" s="1"/>
  <c r="E22" i="24"/>
  <c r="E66" i="15"/>
  <c r="E68" s="1"/>
  <c r="E69" s="1"/>
  <c r="E71" s="1"/>
  <c r="E10"/>
  <c r="F21" i="24" s="1"/>
  <c r="V99" i="12"/>
  <c r="H99" s="1"/>
  <c r="L67" i="11" s="1"/>
  <c r="W202" i="12"/>
  <c r="H202"/>
  <c r="R198"/>
  <c r="Q95"/>
  <c r="O158"/>
  <c r="Q22" i="19" s="1"/>
  <c r="Q200" i="12"/>
  <c r="P97"/>
  <c r="F71" i="14"/>
  <c r="F34" i="15"/>
  <c r="F35" s="1"/>
  <c r="F64" s="1"/>
  <c r="D153"/>
  <c r="D14" s="1"/>
  <c r="E50" i="7" s="1"/>
  <c r="E148" i="15"/>
  <c r="F149"/>
  <c r="F32"/>
  <c r="O23" i="11"/>
  <c r="I134"/>
  <c r="G130" i="14" s="1"/>
  <c r="G85" s="1"/>
  <c r="G87" s="1"/>
  <c r="I60" i="13"/>
  <c r="N23" i="19" s="1"/>
  <c r="M101" i="13"/>
  <c r="R28" i="19" s="1"/>
  <c r="P101" i="13"/>
  <c r="U28" i="19" s="1"/>
  <c r="F124" i="14"/>
  <c r="F72"/>
  <c r="G116"/>
  <c r="G63" s="1"/>
  <c r="G122"/>
  <c r="G115"/>
  <c r="F118"/>
  <c r="F62"/>
  <c r="H101" i="13"/>
  <c r="M28" i="19" s="1"/>
  <c r="D95" i="13"/>
  <c r="D101" i="14"/>
  <c r="D159" i="13"/>
  <c r="D59"/>
  <c r="D65"/>
  <c r="S101"/>
  <c r="X28" i="19" s="1"/>
  <c r="K101" i="13"/>
  <c r="P28" i="19" s="1"/>
  <c r="I101" i="13"/>
  <c r="N28" i="19" s="1"/>
  <c r="H60" i="13"/>
  <c r="M23" i="19" s="1"/>
  <c r="H67" i="13"/>
  <c r="M24" i="19" s="1"/>
  <c r="O101" i="13"/>
  <c r="T28" i="19" s="1"/>
  <c r="Q101" i="13"/>
  <c r="V28" i="19" s="1"/>
  <c r="D99" i="13"/>
  <c r="R101"/>
  <c r="W28" i="19" s="1"/>
  <c r="L101" i="13"/>
  <c r="Q28" i="19" s="1"/>
  <c r="J101" i="13"/>
  <c r="O28" i="19" s="1"/>
  <c r="N101" i="13"/>
  <c r="S28" i="19" s="1"/>
  <c r="I67" i="13"/>
  <c r="N24" i="19" s="1"/>
  <c r="F11" i="14"/>
  <c r="F42" i="7" s="1"/>
  <c r="F132" i="14"/>
  <c r="F85"/>
  <c r="F87" s="1"/>
  <c r="I53"/>
  <c r="D63" i="13"/>
  <c r="J141"/>
  <c r="J55"/>
  <c r="J118"/>
  <c r="K113"/>
  <c r="K122"/>
  <c r="K114"/>
  <c r="K56" s="1"/>
  <c r="O270" i="12"/>
  <c r="O269"/>
  <c r="P196"/>
  <c r="P93" s="1"/>
  <c r="O264"/>
  <c r="O265"/>
  <c r="L137" i="13" s="1"/>
  <c r="L80"/>
  <c r="P61" i="11"/>
  <c r="P68" s="1"/>
  <c r="P14" s="1"/>
  <c r="P20" s="1"/>
  <c r="P21" s="1"/>
  <c r="P22" s="1"/>
  <c r="J136"/>
  <c r="J131"/>
  <c r="H128" i="14" s="1"/>
  <c r="J135" i="11"/>
  <c r="J68"/>
  <c r="J14" s="1"/>
  <c r="J20" s="1"/>
  <c r="J83" i="13"/>
  <c r="O26" i="19" s="1"/>
  <c r="J64" i="13"/>
  <c r="J67" s="1"/>
  <c r="O24" i="19" s="1"/>
  <c r="J125" i="13"/>
  <c r="J56"/>
  <c r="K79"/>
  <c r="P266" i="12"/>
  <c r="M138" i="13" s="1"/>
  <c r="M80" s="1"/>
  <c r="P271" i="12"/>
  <c r="N268"/>
  <c r="K139" i="13" s="1"/>
  <c r="K81" s="1"/>
  <c r="H44" i="4"/>
  <c r="H21" i="7" s="1"/>
  <c r="G10" i="4"/>
  <c r="G11" i="7" s="1"/>
  <c r="F13" i="4"/>
  <c r="F35" i="7" l="1"/>
  <c r="G26"/>
  <c r="G29" s="1"/>
  <c r="G14"/>
  <c r="I26" i="20"/>
  <c r="I38" i="7"/>
  <c r="F11" i="20"/>
  <c r="F13"/>
  <c r="F9"/>
  <c r="F36" i="24"/>
  <c r="F63" i="15"/>
  <c r="F66" s="1"/>
  <c r="F68" s="1"/>
  <c r="F69" s="1"/>
  <c r="F71" s="1"/>
  <c r="F10"/>
  <c r="G21" i="24" s="1"/>
  <c r="Y28" i="19"/>
  <c r="S198" i="12"/>
  <c r="R95"/>
  <c r="P158"/>
  <c r="R22" i="19" s="1"/>
  <c r="R200" i="12"/>
  <c r="Q97"/>
  <c r="I17" i="24"/>
  <c r="G71" i="14"/>
  <c r="G34" i="15"/>
  <c r="G35" s="1"/>
  <c r="D154"/>
  <c r="D155" s="1"/>
  <c r="E151"/>
  <c r="E9"/>
  <c r="G149"/>
  <c r="G132" i="14"/>
  <c r="J134" i="11"/>
  <c r="H130" i="14" s="1"/>
  <c r="H85" s="1"/>
  <c r="F46" i="4"/>
  <c r="F22" s="1"/>
  <c r="E101" i="14" s="1"/>
  <c r="E66"/>
  <c r="E73"/>
  <c r="E75" s="1"/>
  <c r="E105"/>
  <c r="G124"/>
  <c r="G72"/>
  <c r="H122"/>
  <c r="H115"/>
  <c r="H116"/>
  <c r="H63" s="1"/>
  <c r="D101" i="13"/>
  <c r="D13"/>
  <c r="E13" i="14" s="1"/>
  <c r="E44" i="7" s="1"/>
  <c r="G118" i="14"/>
  <c r="G62"/>
  <c r="H11"/>
  <c r="H42" i="7" s="1"/>
  <c r="H83" i="14"/>
  <c r="G11"/>
  <c r="G42" i="7" s="1"/>
  <c r="P23" i="11"/>
  <c r="L113" i="13"/>
  <c r="L122"/>
  <c r="L114"/>
  <c r="K118"/>
  <c r="K55"/>
  <c r="K141"/>
  <c r="O268" i="12"/>
  <c r="L139" i="13" s="1"/>
  <c r="L81" s="1"/>
  <c r="F14" i="4"/>
  <c r="E78" i="14"/>
  <c r="Q266" i="12"/>
  <c r="N138" i="13" s="1"/>
  <c r="N80" s="1"/>
  <c r="Q271" i="12"/>
  <c r="L79" i="13"/>
  <c r="P270" i="12"/>
  <c r="P269"/>
  <c r="Q196"/>
  <c r="Q93" s="1"/>
  <c r="P265"/>
  <c r="M137" i="13" s="1"/>
  <c r="P264" i="12"/>
  <c r="K125" i="13"/>
  <c r="K64"/>
  <c r="K83"/>
  <c r="P26" i="19" s="1"/>
  <c r="J60" i="13"/>
  <c r="O23" i="19" s="1"/>
  <c r="G13" i="4"/>
  <c r="I44"/>
  <c r="I21" i="7" s="1"/>
  <c r="H10" i="4"/>
  <c r="H11" i="7" s="1"/>
  <c r="G35" l="1"/>
  <c r="G9" i="20"/>
  <c r="G11"/>
  <c r="G13"/>
  <c r="G36" i="24"/>
  <c r="H26" i="7"/>
  <c r="H29" s="1"/>
  <c r="H14"/>
  <c r="F14" i="24"/>
  <c r="G63" i="15"/>
  <c r="Q158" i="12"/>
  <c r="S22" i="19" s="1"/>
  <c r="T198" i="12"/>
  <c r="S95"/>
  <c r="S200"/>
  <c r="R97"/>
  <c r="H71" i="14"/>
  <c r="H34" i="15"/>
  <c r="H35" s="1"/>
  <c r="H64" s="1"/>
  <c r="G64"/>
  <c r="E12"/>
  <c r="F17" i="20" s="1"/>
  <c r="H149" i="15"/>
  <c r="H32"/>
  <c r="D15"/>
  <c r="E18" i="20" s="1"/>
  <c r="E20" s="1"/>
  <c r="F148" i="15"/>
  <c r="E153"/>
  <c r="E14" s="1"/>
  <c r="F50" i="7" s="1"/>
  <c r="C29" i="15"/>
  <c r="H87" i="14"/>
  <c r="H132"/>
  <c r="L141" i="13"/>
  <c r="G46" i="4"/>
  <c r="G22" s="1"/>
  <c r="F101" i="14" s="1"/>
  <c r="F66"/>
  <c r="F73"/>
  <c r="F75" s="1"/>
  <c r="F105"/>
  <c r="H118"/>
  <c r="H62"/>
  <c r="E68"/>
  <c r="F8" s="1"/>
  <c r="F39" i="7" s="1"/>
  <c r="H124" i="14"/>
  <c r="H72"/>
  <c r="E79"/>
  <c r="E80" s="1"/>
  <c r="L83" i="13"/>
  <c r="Q26" i="19" s="1"/>
  <c r="L64" i="13"/>
  <c r="L67" s="1"/>
  <c r="Q24" i="19" s="1"/>
  <c r="L125" i="13"/>
  <c r="G14" i="4"/>
  <c r="F78" i="14"/>
  <c r="K67" i="13"/>
  <c r="P24" i="19" s="1"/>
  <c r="M113" i="13"/>
  <c r="M122"/>
  <c r="M114"/>
  <c r="M56" s="1"/>
  <c r="Q270" i="12"/>
  <c r="Q269"/>
  <c r="Q265"/>
  <c r="N137" i="13" s="1"/>
  <c r="Q264" i="12"/>
  <c r="R196"/>
  <c r="R93" s="1"/>
  <c r="M79" i="13"/>
  <c r="R266" i="12"/>
  <c r="O138" i="13" s="1"/>
  <c r="O80" s="1"/>
  <c r="R271" i="12"/>
  <c r="K60" i="13"/>
  <c r="P23" i="19" s="1"/>
  <c r="L56" i="13"/>
  <c r="L55"/>
  <c r="L118"/>
  <c r="P268" i="12"/>
  <c r="M139" i="13" s="1"/>
  <c r="I10" i="4"/>
  <c r="I11" i="7" s="1"/>
  <c r="H13" i="4"/>
  <c r="H35" i="7" l="1"/>
  <c r="H13" i="20"/>
  <c r="H9"/>
  <c r="H11"/>
  <c r="H36" i="24"/>
  <c r="I26" i="7"/>
  <c r="I29" s="1"/>
  <c r="I14"/>
  <c r="G14" i="24"/>
  <c r="F22"/>
  <c r="D16" i="15"/>
  <c r="G66"/>
  <c r="G68" s="1"/>
  <c r="G69" s="1"/>
  <c r="G71" s="1"/>
  <c r="H10"/>
  <c r="I21" i="24" s="1"/>
  <c r="R158" i="12"/>
  <c r="T22" i="19" s="1"/>
  <c r="U198" i="12"/>
  <c r="T95"/>
  <c r="T200"/>
  <c r="S97"/>
  <c r="C25" i="15"/>
  <c r="G108"/>
  <c r="G32"/>
  <c r="F10" i="14"/>
  <c r="F41" i="7" s="1"/>
  <c r="E81" i="14"/>
  <c r="G119" i="15"/>
  <c r="C26"/>
  <c r="G129"/>
  <c r="C27"/>
  <c r="F151"/>
  <c r="F9"/>
  <c r="E154"/>
  <c r="E155" s="1"/>
  <c r="I11" i="14"/>
  <c r="I42" i="7" s="1"/>
  <c r="H46" i="4"/>
  <c r="H22" s="1"/>
  <c r="G101" i="14" s="1"/>
  <c r="G105"/>
  <c r="G66"/>
  <c r="G73"/>
  <c r="G75" s="1"/>
  <c r="F68"/>
  <c r="G8" s="1"/>
  <c r="G39" i="7" s="1"/>
  <c r="F79" i="14"/>
  <c r="F80" s="1"/>
  <c r="L60" i="13"/>
  <c r="Q23" i="19" s="1"/>
  <c r="H14" i="4"/>
  <c r="G78" i="14"/>
  <c r="M81" i="13"/>
  <c r="M83" s="1"/>
  <c r="R26" i="19" s="1"/>
  <c r="S266" i="12"/>
  <c r="P138" i="13" s="1"/>
  <c r="P80" s="1"/>
  <c r="S271" i="12"/>
  <c r="R270"/>
  <c r="R269"/>
  <c r="S196"/>
  <c r="S93" s="1"/>
  <c r="R265"/>
  <c r="O137" i="13" s="1"/>
  <c r="R264" i="12"/>
  <c r="N79" i="13"/>
  <c r="M125"/>
  <c r="M64"/>
  <c r="N114"/>
  <c r="N113"/>
  <c r="N122"/>
  <c r="M118"/>
  <c r="M55"/>
  <c r="M141"/>
  <c r="Q268" i="12"/>
  <c r="N139" i="13" s="1"/>
  <c r="N81" s="1"/>
  <c r="I13" i="4"/>
  <c r="I35" i="7" l="1"/>
  <c r="I13" i="20"/>
  <c r="I9"/>
  <c r="I11"/>
  <c r="I36" i="24"/>
  <c r="H14"/>
  <c r="E11"/>
  <c r="G131" i="15"/>
  <c r="G133" s="1"/>
  <c r="G134" s="1"/>
  <c r="H63"/>
  <c r="H66" s="1"/>
  <c r="H68" s="1"/>
  <c r="H69" s="1"/>
  <c r="H71" s="1"/>
  <c r="G121"/>
  <c r="G123" s="1"/>
  <c r="G124" s="1"/>
  <c r="C32"/>
  <c r="S158" i="12"/>
  <c r="U22" i="19" s="1"/>
  <c r="V198" i="12"/>
  <c r="H198" s="1"/>
  <c r="U95"/>
  <c r="U200"/>
  <c r="T97"/>
  <c r="G10" i="14"/>
  <c r="G41" i="7" s="1"/>
  <c r="F81" i="14"/>
  <c r="G110" i="15"/>
  <c r="G10"/>
  <c r="H21" i="24" s="1"/>
  <c r="F12" i="15"/>
  <c r="G17" i="20" s="1"/>
  <c r="G148" i="15"/>
  <c r="F153"/>
  <c r="F14" s="1"/>
  <c r="G50" i="7" s="1"/>
  <c r="E15" i="15"/>
  <c r="F18" i="20" s="1"/>
  <c r="F20" s="1"/>
  <c r="F9" i="14"/>
  <c r="F40" i="7" s="1"/>
  <c r="F12" i="20" s="1"/>
  <c r="I46" i="4"/>
  <c r="I22" s="1"/>
  <c r="H101" i="14" s="1"/>
  <c r="H105"/>
  <c r="H73"/>
  <c r="H75" s="1"/>
  <c r="H66"/>
  <c r="G68"/>
  <c r="H8" s="1"/>
  <c r="H39" i="7" s="1"/>
  <c r="G9" i="14"/>
  <c r="G40" i="7" s="1"/>
  <c r="G12" i="20" s="1"/>
  <c r="G79" i="14"/>
  <c r="G80" s="1"/>
  <c r="I14" i="4"/>
  <c r="H78" i="14"/>
  <c r="N55" i="13"/>
  <c r="N118"/>
  <c r="M60"/>
  <c r="R23" i="19" s="1"/>
  <c r="N64" i="13"/>
  <c r="N67" s="1"/>
  <c r="S24" i="19" s="1"/>
  <c r="N125" i="13"/>
  <c r="N56"/>
  <c r="M67"/>
  <c r="R24" i="19" s="1"/>
  <c r="O114" i="13"/>
  <c r="O56" s="1"/>
  <c r="O113"/>
  <c r="O122"/>
  <c r="S270" i="12"/>
  <c r="S265"/>
  <c r="P137" i="13" s="1"/>
  <c r="T196" i="12"/>
  <c r="T93" s="1"/>
  <c r="S269"/>
  <c r="S264"/>
  <c r="T266"/>
  <c r="Q138" i="13" s="1"/>
  <c r="Q80" s="1"/>
  <c r="T271" i="12"/>
  <c r="N141" i="13"/>
  <c r="N83"/>
  <c r="S26" i="19" s="1"/>
  <c r="O79" i="13"/>
  <c r="R268" i="12"/>
  <c r="O139" i="13" s="1"/>
  <c r="O81" s="1"/>
  <c r="I14" i="24" l="1"/>
  <c r="G22"/>
  <c r="E16" i="15"/>
  <c r="H128"/>
  <c r="H131" s="1"/>
  <c r="H133" s="1"/>
  <c r="H134" s="1"/>
  <c r="H135" s="1"/>
  <c r="H118"/>
  <c r="H121" s="1"/>
  <c r="H123" s="1"/>
  <c r="H124" s="1"/>
  <c r="H125" s="1"/>
  <c r="T158" i="12"/>
  <c r="V22" i="19" s="1"/>
  <c r="W198" i="12"/>
  <c r="V95"/>
  <c r="H95" s="1"/>
  <c r="L63" i="11" s="1"/>
  <c r="V200" i="12"/>
  <c r="U97"/>
  <c r="G112" i="15"/>
  <c r="G113" s="1"/>
  <c r="G115" s="1"/>
  <c r="H107"/>
  <c r="H110" s="1"/>
  <c r="H112" s="1"/>
  <c r="G125"/>
  <c r="H10" i="14"/>
  <c r="H41" i="7" s="1"/>
  <c r="G81" i="14"/>
  <c r="G135" i="15"/>
  <c r="G151"/>
  <c r="G9"/>
  <c r="F154"/>
  <c r="F155" s="1"/>
  <c r="S268" i="12"/>
  <c r="P139" i="13" s="1"/>
  <c r="P81" s="1"/>
  <c r="H9" i="14"/>
  <c r="H40" i="7" s="1"/>
  <c r="H12" i="20" s="1"/>
  <c r="H68" i="14"/>
  <c r="I8" s="1"/>
  <c r="I39" i="7" s="1"/>
  <c r="H79" i="14"/>
  <c r="H80" s="1"/>
  <c r="U266" i="12"/>
  <c r="R138" i="13" s="1"/>
  <c r="R80" s="1"/>
  <c r="U271" i="12"/>
  <c r="P113" i="13"/>
  <c r="P122"/>
  <c r="P114"/>
  <c r="P56" s="1"/>
  <c r="T270" i="12"/>
  <c r="T269"/>
  <c r="T264"/>
  <c r="U196"/>
  <c r="U93" s="1"/>
  <c r="T265"/>
  <c r="Q137" i="13" s="1"/>
  <c r="O55"/>
  <c r="O118"/>
  <c r="O141"/>
  <c r="O83"/>
  <c r="T26" i="19" s="1"/>
  <c r="N60" i="13"/>
  <c r="S23" i="19" s="1"/>
  <c r="P79" i="13"/>
  <c r="O64"/>
  <c r="O67" s="1"/>
  <c r="T24" i="19" s="1"/>
  <c r="O125" i="13"/>
  <c r="F11" i="24" l="1"/>
  <c r="U158" i="12"/>
  <c r="W22" i="19" s="1"/>
  <c r="W200" i="12"/>
  <c r="V97"/>
  <c r="H97" s="1"/>
  <c r="H200"/>
  <c r="I10" i="14"/>
  <c r="I41" i="7" s="1"/>
  <c r="H81" i="14"/>
  <c r="H113" i="15"/>
  <c r="H115" s="1"/>
  <c r="G12"/>
  <c r="H17" i="20" s="1"/>
  <c r="G153" i="15"/>
  <c r="G14" s="1"/>
  <c r="H50" i="7" s="1"/>
  <c r="H148" i="15"/>
  <c r="F15"/>
  <c r="G18" i="20" s="1"/>
  <c r="G20" s="1"/>
  <c r="P83" i="13"/>
  <c r="U26" i="19" s="1"/>
  <c r="P141" i="13"/>
  <c r="I9" i="14"/>
  <c r="I40" i="7" s="1"/>
  <c r="I12" i="20" s="1"/>
  <c r="Q79" i="13"/>
  <c r="Q113"/>
  <c r="Q122"/>
  <c r="Q114"/>
  <c r="Q56" s="1"/>
  <c r="P125"/>
  <c r="P64"/>
  <c r="P67" s="1"/>
  <c r="U24" i="19" s="1"/>
  <c r="V266" i="12"/>
  <c r="V271"/>
  <c r="L137" i="11" s="1"/>
  <c r="H201" i="12"/>
  <c r="O60" i="13"/>
  <c r="T23" i="19" s="1"/>
  <c r="U270" i="12"/>
  <c r="U269"/>
  <c r="U264"/>
  <c r="U265"/>
  <c r="R137" i="13" s="1"/>
  <c r="V196" i="12"/>
  <c r="P118" i="13"/>
  <c r="P55"/>
  <c r="P60" s="1"/>
  <c r="U23" i="19" s="1"/>
  <c r="T268" i="12"/>
  <c r="Q139" i="13" s="1"/>
  <c r="Q81" s="1"/>
  <c r="G16" i="24" l="1"/>
  <c r="H22"/>
  <c r="F16" i="15"/>
  <c r="W196" i="12"/>
  <c r="V93"/>
  <c r="S138" i="13"/>
  <c r="S80" s="1"/>
  <c r="D80" s="1"/>
  <c r="L132" i="11"/>
  <c r="L65"/>
  <c r="G154" i="15"/>
  <c r="G155" s="1"/>
  <c r="H151"/>
  <c r="H153" s="1"/>
  <c r="H14" s="1"/>
  <c r="I50" i="7" s="1"/>
  <c r="H9" i="15"/>
  <c r="U268" i="12"/>
  <c r="R139" i="13" s="1"/>
  <c r="R81" s="1"/>
  <c r="R79"/>
  <c r="V270" i="12"/>
  <c r="L136" i="11" s="1"/>
  <c r="V269" i="12"/>
  <c r="L135" i="11" s="1"/>
  <c r="V265" i="12"/>
  <c r="L131" i="11" s="1"/>
  <c r="V264" i="12"/>
  <c r="H196"/>
  <c r="H236" s="1"/>
  <c r="F13" s="1"/>
  <c r="F19" s="1"/>
  <c r="R114" i="13"/>
  <c r="R56" s="1"/>
  <c r="R113"/>
  <c r="R122"/>
  <c r="Q118"/>
  <c r="Q55"/>
  <c r="Q60" s="1"/>
  <c r="V23" i="19" s="1"/>
  <c r="Q83" i="13"/>
  <c r="V26" i="19" s="1"/>
  <c r="Q125" i="13"/>
  <c r="Q64"/>
  <c r="Q67" s="1"/>
  <c r="V24" i="19" s="1"/>
  <c r="Q141" i="13"/>
  <c r="H16" i="24" l="1"/>
  <c r="G11"/>
  <c r="V158" i="12"/>
  <c r="X22" i="19" s="1"/>
  <c r="Y22" s="1"/>
  <c r="H93" i="12"/>
  <c r="E138" i="13"/>
  <c r="D138" s="1"/>
  <c r="D84" i="14" s="1"/>
  <c r="S137" i="13"/>
  <c r="S79" s="1"/>
  <c r="AC355" i="16"/>
  <c r="M355" s="1"/>
  <c r="H12" i="15"/>
  <c r="I17" i="20" s="1"/>
  <c r="G15" i="15"/>
  <c r="H18" i="20" s="1"/>
  <c r="H20" s="1"/>
  <c r="H154" i="15"/>
  <c r="H155" s="1"/>
  <c r="R83" i="13"/>
  <c r="W26" i="19" s="1"/>
  <c r="R141" i="13"/>
  <c r="V268" i="12"/>
  <c r="R118" i="13"/>
  <c r="R55"/>
  <c r="R60" s="1"/>
  <c r="W23" i="19" s="1"/>
  <c r="G13" i="12"/>
  <c r="G10"/>
  <c r="G8"/>
  <c r="G9"/>
  <c r="G11"/>
  <c r="G12"/>
  <c r="G16"/>
  <c r="G14"/>
  <c r="G15"/>
  <c r="G18"/>
  <c r="G17"/>
  <c r="R64" i="13"/>
  <c r="R67" s="1"/>
  <c r="W24" i="19" s="1"/>
  <c r="R125" i="13"/>
  <c r="S113"/>
  <c r="S122"/>
  <c r="S114"/>
  <c r="I16" i="24" l="1"/>
  <c r="I22"/>
  <c r="G16" i="15"/>
  <c r="E80" i="13"/>
  <c r="H158" i="12"/>
  <c r="L61" i="11"/>
  <c r="L68" s="1"/>
  <c r="L14" s="1"/>
  <c r="L20" s="1"/>
  <c r="H133" i="12"/>
  <c r="S139" i="13"/>
  <c r="S81" s="1"/>
  <c r="D81" s="1"/>
  <c r="L134" i="11"/>
  <c r="E137" i="13"/>
  <c r="E79" s="1"/>
  <c r="M186" i="16"/>
  <c r="E186" s="1"/>
  <c r="F355"/>
  <c r="H15" i="15"/>
  <c r="I18" i="20" s="1"/>
  <c r="I20" s="1"/>
  <c r="S56" i="13"/>
  <c r="D56" s="1"/>
  <c r="E114"/>
  <c r="D116" i="14" s="1"/>
  <c r="S64" i="13"/>
  <c r="S125"/>
  <c r="E122"/>
  <c r="D122" i="14" s="1"/>
  <c r="D124" s="1"/>
  <c r="D79" i="13"/>
  <c r="S118"/>
  <c r="S55"/>
  <c r="E113"/>
  <c r="D115" i="14" s="1"/>
  <c r="G19" i="12"/>
  <c r="H11" i="24" l="1"/>
  <c r="H16" i="15"/>
  <c r="E139" i="13"/>
  <c r="D139" s="1"/>
  <c r="D85" i="14" s="1"/>
  <c r="S83" i="13"/>
  <c r="X26" i="19" s="1"/>
  <c r="Y26" s="1"/>
  <c r="L21" i="11"/>
  <c r="L22" s="1"/>
  <c r="H19" i="12"/>
  <c r="D137" i="13"/>
  <c r="D83" i="14" s="1"/>
  <c r="S141" i="13"/>
  <c r="F186" i="16"/>
  <c r="AD186" s="1"/>
  <c r="E355"/>
  <c r="AD355"/>
  <c r="D118" i="14"/>
  <c r="E55" i="13"/>
  <c r="D113"/>
  <c r="D62" i="14" s="1"/>
  <c r="D114" i="13"/>
  <c r="D63" i="14" s="1"/>
  <c r="E56" i="13"/>
  <c r="S60"/>
  <c r="X23" i="19" s="1"/>
  <c r="Y23" s="1"/>
  <c r="D55" i="13"/>
  <c r="D11"/>
  <c r="D83"/>
  <c r="E64"/>
  <c r="D122"/>
  <c r="S67"/>
  <c r="X24" i="19" s="1"/>
  <c r="Y24" s="1"/>
  <c r="D64" i="13"/>
  <c r="E26" i="20" l="1"/>
  <c r="F17" i="24" s="1"/>
  <c r="E38" i="7"/>
  <c r="I11" i="24"/>
  <c r="D12" i="21"/>
  <c r="E81" i="13"/>
  <c r="D141"/>
  <c r="D87" i="14"/>
  <c r="L23" i="11"/>
  <c r="D125" i="13"/>
  <c r="D72" i="14"/>
  <c r="D75" s="1"/>
  <c r="D68"/>
  <c r="D118" i="13"/>
  <c r="E11" i="14"/>
  <c r="E42" i="7" s="1"/>
  <c r="D67" i="13"/>
  <c r="D9"/>
  <c r="D60"/>
  <c r="D8"/>
  <c r="E17" i="24" l="1"/>
  <c r="E8" i="14"/>
  <c r="E39" i="7" s="1"/>
  <c r="E9" i="14"/>
  <c r="E40" i="7" s="1"/>
  <c r="E12" i="20" s="1"/>
  <c r="E16" i="24" l="1"/>
  <c r="F16"/>
  <c r="F8" i="22" l="1"/>
  <c r="F20"/>
  <c r="F21"/>
  <c r="F22"/>
  <c r="F23"/>
  <c r="F24"/>
  <c r="F25"/>
  <c r="F26"/>
  <c r="F27"/>
  <c r="F28"/>
  <c r="F29"/>
  <c r="F30"/>
  <c r="F31"/>
  <c r="F32"/>
  <c r="F33"/>
  <c r="F34"/>
  <c r="F36" l="1"/>
  <c r="F65" i="17"/>
  <c r="M36" i="22" l="1"/>
  <c r="F37"/>
  <c r="G37" s="1"/>
  <c r="G87" i="13"/>
  <c r="H87"/>
  <c r="I87"/>
  <c r="J87"/>
  <c r="J92" s="1"/>
  <c r="K87"/>
  <c r="K92" s="1"/>
  <c r="L87"/>
  <c r="L92" s="1"/>
  <c r="M87"/>
  <c r="M92" s="1"/>
  <c r="N87"/>
  <c r="N92" s="1"/>
  <c r="O87"/>
  <c r="O92" s="1"/>
  <c r="P87"/>
  <c r="P92" s="1"/>
  <c r="Q87"/>
  <c r="Q92" s="1"/>
  <c r="R87"/>
  <c r="R92" s="1"/>
  <c r="S87"/>
  <c r="S92" s="1"/>
  <c r="H92"/>
  <c r="I92"/>
  <c r="D145"/>
  <c r="D91" i="14" s="1"/>
  <c r="D96" s="1"/>
  <c r="E29" s="1"/>
  <c r="F29" s="1"/>
  <c r="G29" s="1"/>
  <c r="H29" s="1"/>
  <c r="I29" s="1"/>
  <c r="R103" i="13" l="1"/>
  <c r="W27" i="19"/>
  <c r="W30" s="1"/>
  <c r="W35" s="1"/>
  <c r="N103" i="13"/>
  <c r="S27" i="19"/>
  <c r="S30" s="1"/>
  <c r="S35" s="1"/>
  <c r="J103" i="13"/>
  <c r="O27" i="19"/>
  <c r="O30" s="1"/>
  <c r="O35" s="1"/>
  <c r="S103" i="13"/>
  <c r="X27" i="19"/>
  <c r="X30" s="1"/>
  <c r="X35" s="1"/>
  <c r="K103" i="13"/>
  <c r="P27" i="19"/>
  <c r="P30" s="1"/>
  <c r="P35" s="1"/>
  <c r="I103" i="13"/>
  <c r="N27" i="19"/>
  <c r="N30" s="1"/>
  <c r="N35" s="1"/>
  <c r="Q103" i="13"/>
  <c r="V27" i="19"/>
  <c r="V30" s="1"/>
  <c r="V35" s="1"/>
  <c r="M103" i="13"/>
  <c r="R27" i="19"/>
  <c r="R30" s="1"/>
  <c r="R35" s="1"/>
  <c r="O103" i="13"/>
  <c r="T27" i="19"/>
  <c r="T30" s="1"/>
  <c r="T35" s="1"/>
  <c r="P103" i="13"/>
  <c r="U27" i="19"/>
  <c r="U30" s="1"/>
  <c r="U35" s="1"/>
  <c r="L103" i="13"/>
  <c r="Q27" i="19"/>
  <c r="Q30" s="1"/>
  <c r="Q35" s="1"/>
  <c r="H103" i="13"/>
  <c r="M27" i="19"/>
  <c r="D150" i="13"/>
  <c r="D87"/>
  <c r="Y27" i="19" l="1"/>
  <c r="Y30" s="1"/>
  <c r="M30"/>
  <c r="M35" s="1"/>
  <c r="D98" i="14"/>
  <c r="D43" i="13"/>
  <c r="D28"/>
  <c r="D92"/>
  <c r="D12"/>
  <c r="Y32" i="19" l="1"/>
  <c r="Y35" s="1"/>
  <c r="E96" i="14"/>
  <c r="D107"/>
  <c r="D14" i="13"/>
  <c r="E12" i="14"/>
  <c r="E43" i="7" s="1"/>
  <c r="E98" i="14"/>
  <c r="F96" s="1"/>
  <c r="E46" i="7" l="1"/>
  <c r="E48" s="1"/>
  <c r="E52" s="1"/>
  <c r="E25" i="20"/>
  <c r="E12" i="13"/>
  <c r="D11" i="21"/>
  <c r="G12" i="14"/>
  <c r="G43" i="7" s="1"/>
  <c r="E10" i="13"/>
  <c r="E13"/>
  <c r="E8"/>
  <c r="E9"/>
  <c r="E11"/>
  <c r="F98" i="14"/>
  <c r="G96" s="1"/>
  <c r="E14"/>
  <c r="F12"/>
  <c r="F43" i="7" s="1"/>
  <c r="E107" i="14"/>
  <c r="F13" s="1"/>
  <c r="F44" i="7" s="1"/>
  <c r="F46" l="1"/>
  <c r="F48" s="1"/>
  <c r="F52" s="1"/>
  <c r="F25" i="20"/>
  <c r="E15" i="24"/>
  <c r="D14" i="21"/>
  <c r="D15" s="1"/>
  <c r="D19" s="1"/>
  <c r="E14" i="13"/>
  <c r="G98" i="14"/>
  <c r="H96" s="1"/>
  <c r="H98"/>
  <c r="F107"/>
  <c r="G13" s="1"/>
  <c r="G44" i="7" s="1"/>
  <c r="G46" s="1"/>
  <c r="G48" s="1"/>
  <c r="G52" s="1"/>
  <c r="F14" i="14"/>
  <c r="H12"/>
  <c r="H43" i="7" s="1"/>
  <c r="G25" i="20" l="1"/>
  <c r="G15" i="24" s="1"/>
  <c r="H11" i="21"/>
  <c r="E26" i="24" s="1"/>
  <c r="F15"/>
  <c r="F15" i="14"/>
  <c r="D20" i="21"/>
  <c r="D21" s="1"/>
  <c r="H107" i="14"/>
  <c r="I13" s="1"/>
  <c r="I44" i="7" s="1"/>
  <c r="I12" i="14"/>
  <c r="I43" i="7" s="1"/>
  <c r="G107" i="14"/>
  <c r="H13" s="1"/>
  <c r="H44" i="7" s="1"/>
  <c r="H46" s="1"/>
  <c r="H48" s="1"/>
  <c r="H52" s="1"/>
  <c r="G14" i="14"/>
  <c r="H25" i="20" l="1"/>
  <c r="H15" i="24" s="1"/>
  <c r="I46" i="7"/>
  <c r="I48" s="1"/>
  <c r="I52" s="1"/>
  <c r="I25" i="20"/>
  <c r="E28" i="24"/>
  <c r="H13" i="21"/>
  <c r="E33" i="20" s="1"/>
  <c r="G15" i="14"/>
  <c r="H21" i="21"/>
  <c r="H31"/>
  <c r="H34" s="1"/>
  <c r="H14" i="14"/>
  <c r="I14"/>
  <c r="I22" i="21" l="1"/>
  <c r="F27" i="24" s="1"/>
  <c r="K22" i="21"/>
  <c r="H27" i="24" s="1"/>
  <c r="J22" i="21"/>
  <c r="G27" i="24" s="1"/>
  <c r="L22" i="21"/>
  <c r="I27" i="24" s="1"/>
  <c r="I10" i="21"/>
  <c r="I13" s="1"/>
  <c r="I15" i="24"/>
  <c r="H23" i="21"/>
  <c r="E29" i="20" s="1"/>
  <c r="E31" s="1"/>
  <c r="H15" i="14"/>
  <c r="I15"/>
  <c r="J10" i="21" l="1"/>
  <c r="J13" s="1"/>
  <c r="G33" i="20" s="1"/>
  <c r="F33"/>
  <c r="H27" i="21"/>
  <c r="E54" i="7" s="1"/>
  <c r="E56" s="1"/>
  <c r="I20" i="21"/>
  <c r="K10" l="1"/>
  <c r="K13" s="1"/>
  <c r="H33" i="20" s="1"/>
  <c r="E70" i="7"/>
  <c r="E72" s="1"/>
  <c r="E76" s="1"/>
  <c r="E58" s="1"/>
  <c r="E60" s="1"/>
  <c r="I23" i="21"/>
  <c r="F29" i="20" s="1"/>
  <c r="F31" s="1"/>
  <c r="L10" i="21" l="1"/>
  <c r="L13" s="1"/>
  <c r="I33" i="20" s="1"/>
  <c r="E62" i="7"/>
  <c r="E66"/>
  <c r="E34" i="20" s="1"/>
  <c r="E10" i="24"/>
  <c r="E25"/>
  <c r="E30" s="1"/>
  <c r="J20" i="21"/>
  <c r="J23" s="1"/>
  <c r="G29" i="20" s="1"/>
  <c r="G31" s="1"/>
  <c r="I27" i="21"/>
  <c r="F54" i="7" s="1"/>
  <c r="F56" s="1"/>
  <c r="E35" i="20" l="1"/>
  <c r="F70" i="7"/>
  <c r="F72" s="1"/>
  <c r="F76" s="1"/>
  <c r="F58" s="1"/>
  <c r="F60" s="1"/>
  <c r="E29" i="24"/>
  <c r="F25"/>
  <c r="F30" s="1"/>
  <c r="K20" i="21"/>
  <c r="K23" s="1"/>
  <c r="H29" i="20" s="1"/>
  <c r="H31" s="1"/>
  <c r="J27" i="21"/>
  <c r="G54" i="7" s="1"/>
  <c r="G56" s="1"/>
  <c r="F66" l="1"/>
  <c r="F34" i="20" s="1"/>
  <c r="F62" i="7"/>
  <c r="G70"/>
  <c r="G72" s="1"/>
  <c r="G76" s="1"/>
  <c r="G58" s="1"/>
  <c r="G60" s="1"/>
  <c r="F10" i="24"/>
  <c r="E9"/>
  <c r="E12" s="1"/>
  <c r="E18" s="1"/>
  <c r="E32" s="1"/>
  <c r="E34" s="1"/>
  <c r="E37" s="1"/>
  <c r="G25"/>
  <c r="G30" s="1"/>
  <c r="F9"/>
  <c r="L20" i="21"/>
  <c r="L23" s="1"/>
  <c r="I29" i="20" s="1"/>
  <c r="I31" s="1"/>
  <c r="K27" i="21"/>
  <c r="H54" i="7" s="1"/>
  <c r="H56" s="1"/>
  <c r="E24" i="20" l="1"/>
  <c r="E27" s="1"/>
  <c r="E37" s="1"/>
  <c r="E10"/>
  <c r="E15" s="1"/>
  <c r="E22" s="1"/>
  <c r="F35"/>
  <c r="H70" i="7"/>
  <c r="H72" s="1"/>
  <c r="H76" s="1"/>
  <c r="H58" s="1"/>
  <c r="H60" s="1"/>
  <c r="G62"/>
  <c r="G66"/>
  <c r="G34" i="20" s="1"/>
  <c r="F33" i="24"/>
  <c r="G10"/>
  <c r="H25"/>
  <c r="H30" s="1"/>
  <c r="L27" i="21"/>
  <c r="I54" i="7" s="1"/>
  <c r="I56" s="1"/>
  <c r="F12" i="24"/>
  <c r="F18" s="1"/>
  <c r="F32" s="1"/>
  <c r="G35" i="20" l="1"/>
  <c r="E39"/>
  <c r="I70" i="7"/>
  <c r="I72" s="1"/>
  <c r="I76" s="1"/>
  <c r="I58" s="1"/>
  <c r="I60" s="1"/>
  <c r="H66"/>
  <c r="H34" i="20" s="1"/>
  <c r="H62" i="7"/>
  <c r="G9" i="24"/>
  <c r="G12" s="1"/>
  <c r="F34"/>
  <c r="F37" s="1"/>
  <c r="H10"/>
  <c r="I25"/>
  <c r="I30" s="1"/>
  <c r="F29"/>
  <c r="F10" i="20" l="1"/>
  <c r="F15" s="1"/>
  <c r="F22" s="1"/>
  <c r="F24"/>
  <c r="F27" s="1"/>
  <c r="F37" s="1"/>
  <c r="H35"/>
  <c r="I62" i="7"/>
  <c r="I66"/>
  <c r="I34" i="20" s="1"/>
  <c r="I35" s="1"/>
  <c r="G33" i="24"/>
  <c r="I10"/>
  <c r="G29"/>
  <c r="G18"/>
  <c r="G32" s="1"/>
  <c r="F39" i="20" l="1"/>
  <c r="I9" i="24"/>
  <c r="I12" s="1"/>
  <c r="H9"/>
  <c r="H12" s="1"/>
  <c r="H18" s="1"/>
  <c r="H32" s="1"/>
  <c r="G34"/>
  <c r="G37" s="1"/>
  <c r="G24" i="20" l="1"/>
  <c r="G27" s="1"/>
  <c r="G37" s="1"/>
  <c r="G10"/>
  <c r="G15" s="1"/>
  <c r="G22" s="1"/>
  <c r="H33" i="24"/>
  <c r="H34" s="1"/>
  <c r="H37" s="1"/>
  <c r="I29"/>
  <c r="H29"/>
  <c r="I18"/>
  <c r="I32" s="1"/>
  <c r="G39" i="20" l="1"/>
  <c r="H10"/>
  <c r="H15" s="1"/>
  <c r="H22" s="1"/>
  <c r="H24"/>
  <c r="H27" s="1"/>
  <c r="H37" s="1"/>
  <c r="I33" i="24"/>
  <c r="I34" s="1"/>
  <c r="I37" s="1"/>
  <c r="I24" i="20" l="1"/>
  <c r="I27" s="1"/>
  <c r="I37" s="1"/>
  <c r="I10"/>
  <c r="I15" s="1"/>
  <c r="I22" s="1"/>
  <c r="H39"/>
  <c r="I39" l="1"/>
</calcChain>
</file>

<file path=xl/comments1.xml><?xml version="1.0" encoding="utf-8"?>
<comments xmlns="http://schemas.openxmlformats.org/spreadsheetml/2006/main">
  <authors>
    <author>ngan pham</author>
  </authors>
  <commentList>
    <comment ref="F44" authorId="0">
      <text>
        <r>
          <rPr>
            <b/>
            <sz val="9"/>
            <color indexed="81"/>
            <rFont val="Tahoma"/>
            <family val="2"/>
          </rPr>
          <t>ngan pham:</t>
        </r>
        <r>
          <rPr>
            <sz val="9"/>
            <color indexed="81"/>
            <rFont val="Tahoma"/>
            <family val="2"/>
          </rPr>
          <t xml:space="preserve">
large increase due to commission in response to growth in portion of revenue from referral</t>
        </r>
      </text>
    </comment>
  </commentList>
</comments>
</file>

<file path=xl/comments2.xml><?xml version="1.0" encoding="utf-8"?>
<comments xmlns="http://schemas.openxmlformats.org/spreadsheetml/2006/main">
  <authors>
    <author>Thuan Nguyen</author>
  </authors>
  <commentList>
    <comment ref="F18" authorId="0">
      <text>
        <r>
          <rPr>
            <b/>
            <sz val="7"/>
            <color indexed="81"/>
            <rFont val="Tahoma"/>
            <family val="2"/>
          </rPr>
          <t>Thuan Nguyen:</t>
        </r>
        <r>
          <rPr>
            <sz val="7"/>
            <color indexed="81"/>
            <rFont val="Tahoma"/>
            <family val="2"/>
          </rPr>
          <t xml:space="preserve">
Can only attract individual clients first and then corporate clients</t>
        </r>
      </text>
    </comment>
    <comment ref="E84" authorId="0">
      <text>
        <r>
          <rPr>
            <b/>
            <sz val="9"/>
            <color indexed="81"/>
            <rFont val="Tahoma"/>
            <family val="2"/>
          </rPr>
          <t>Thuan Nguyen:</t>
        </r>
        <r>
          <rPr>
            <sz val="9"/>
            <color indexed="81"/>
            <rFont val="Tahoma"/>
            <family val="2"/>
          </rPr>
          <t xml:space="preserve">
Based on Medic</t>
        </r>
      </text>
    </comment>
  </commentList>
</comments>
</file>

<file path=xl/comments3.xml><?xml version="1.0" encoding="utf-8"?>
<comments xmlns="http://schemas.openxmlformats.org/spreadsheetml/2006/main">
  <authors>
    <author>ngan pham</author>
  </authors>
  <commentList>
    <comment ref="F24" authorId="0">
      <text>
        <r>
          <rPr>
            <b/>
            <sz val="9"/>
            <color indexed="81"/>
            <rFont val="Tahoma"/>
            <family val="2"/>
          </rPr>
          <t>ngan pham:</t>
        </r>
        <r>
          <rPr>
            <sz val="9"/>
            <color indexed="81"/>
            <rFont val="Tahoma"/>
            <family val="2"/>
          </rPr>
          <t xml:space="preserve">
checked with Medlatec
</t>
        </r>
      </text>
    </comment>
  </commentList>
</comments>
</file>

<file path=xl/sharedStrings.xml><?xml version="1.0" encoding="utf-8"?>
<sst xmlns="http://schemas.openxmlformats.org/spreadsheetml/2006/main" count="6347" uniqueCount="1787">
  <si>
    <t>FINANCIAL MODEL: TABLE OF CONTENTS</t>
  </si>
  <si>
    <t>Table of Contents</t>
  </si>
  <si>
    <t>Key Assumptions</t>
  </si>
  <si>
    <t>Balance Sheets</t>
  </si>
  <si>
    <t>APPENDICES TO THE MODEL</t>
  </si>
  <si>
    <t>12 Month Revenue Analysis</t>
  </si>
  <si>
    <t>12 Month Cash Flow Forecast</t>
  </si>
  <si>
    <t>12 Month Capital Expenditure Forecast</t>
  </si>
  <si>
    <t>12 Month Headcount Forecast</t>
  </si>
  <si>
    <t>12 Month Operating Expenses</t>
  </si>
  <si>
    <t>Market Service Fee Reference</t>
  </si>
  <si>
    <t>KEY ASSUMPTIONS</t>
  </si>
  <si>
    <t>Key Dates</t>
  </si>
  <si>
    <t xml:space="preserve"> Jan - June 2013</t>
  </si>
  <si>
    <t>Project Specifications</t>
  </si>
  <si>
    <t>YEAR 1 REVENUE PROJECTION</t>
  </si>
  <si>
    <t>Laboratory Service</t>
  </si>
  <si>
    <t>Diagnostic Imaging</t>
  </si>
  <si>
    <t>Other</t>
  </si>
  <si>
    <t>Consultation</t>
  </si>
  <si>
    <t>Total Yr 1</t>
  </si>
  <si>
    <t>Indiviual Clients</t>
  </si>
  <si>
    <t>Corporate Clients</t>
  </si>
  <si>
    <t>X-ray</t>
  </si>
  <si>
    <t>Unit: US$</t>
  </si>
  <si>
    <t>Unit: Test</t>
  </si>
  <si>
    <t>Ultrasound</t>
  </si>
  <si>
    <t>% individual clients</t>
  </si>
  <si>
    <t>% Corporate Clients</t>
  </si>
  <si>
    <t>Year 1</t>
  </si>
  <si>
    <t>Year 2</t>
  </si>
  <si>
    <t>Year 3</t>
  </si>
  <si>
    <t>Year 4</t>
  </si>
  <si>
    <t>Year 5</t>
  </si>
  <si>
    <t>Medic</t>
  </si>
  <si>
    <t>Average</t>
  </si>
  <si>
    <t>Adj.</t>
  </si>
  <si>
    <t>SKT</t>
  </si>
  <si>
    <t>Microbiological</t>
  </si>
  <si>
    <t>Biochemical</t>
  </si>
  <si>
    <t>Immunological</t>
  </si>
  <si>
    <t>Hermatological</t>
  </si>
  <si>
    <t>Parasitological</t>
  </si>
  <si>
    <t>TOTAL LAB TEST</t>
  </si>
  <si>
    <t>BREAKDOWN IN INDIVIDUAL AND CORPORATE CLIENTS</t>
  </si>
  <si>
    <t>Lab Service Fee Rates</t>
  </si>
  <si>
    <t>Lab Service Usage/Vol</t>
  </si>
  <si>
    <t>Diagnostic Imaging Revenue</t>
  </si>
  <si>
    <t>Laboratory Revenue</t>
  </si>
  <si>
    <t>Diagnostic Imaging Service Fee Rates</t>
  </si>
  <si>
    <t>Diagnostic Imaging Usage/Vol</t>
  </si>
  <si>
    <t>MRI</t>
  </si>
  <si>
    <t>CT scanner</t>
  </si>
  <si>
    <t>PET scanner</t>
  </si>
  <si>
    <t>Basic</t>
  </si>
  <si>
    <t>Level</t>
  </si>
  <si>
    <t>Pathological</t>
  </si>
  <si>
    <t>Advanced</t>
  </si>
  <si>
    <t>Molecular Biology</t>
  </si>
  <si>
    <t>Genetic</t>
  </si>
  <si>
    <t>Toxicological</t>
  </si>
  <si>
    <t>Virus Quantification</t>
  </si>
  <si>
    <t>Intermdiate</t>
  </si>
  <si>
    <t>Intermediate</t>
  </si>
  <si>
    <t>Endoscopy</t>
  </si>
  <si>
    <t>Patient Acquisition Assumptions</t>
  </si>
  <si>
    <t>MEDIC LAB AND DIAGNOSTIC IMAGING</t>
  </si>
  <si>
    <t>Service Price</t>
  </si>
  <si>
    <t>Revenue</t>
  </si>
  <si>
    <t>Patients</t>
  </si>
  <si>
    <t># of tests</t>
  </si>
  <si>
    <t>US$</t>
  </si>
  <si>
    <t>Lab Testing:</t>
  </si>
  <si>
    <t>Lab Tests</t>
  </si>
  <si>
    <t>Diagnostic Imaging:</t>
  </si>
  <si>
    <t>CT Scanner</t>
  </si>
  <si>
    <t>Cardiovascular</t>
  </si>
  <si>
    <t xml:space="preserve">Livers </t>
  </si>
  <si>
    <t>MEDIC REVENUE ESTIMATION</t>
  </si>
  <si>
    <t>Total patients</t>
  </si>
  <si>
    <t>Patients per Day</t>
  </si>
  <si>
    <t>Patients subject to lab testing</t>
  </si>
  <si>
    <t>Number of tests delivered</t>
  </si>
  <si>
    <t># Tests per Patient</t>
  </si>
  <si>
    <t>% Lab Patients/Consultations</t>
  </si>
  <si>
    <t>Total consultations</t>
  </si>
  <si>
    <t>General consultations</t>
  </si>
  <si>
    <t>Specialised consultations</t>
  </si>
  <si>
    <t>Of which:</t>
  </si>
  <si>
    <t>MEDIC OPERATIONAL DATA</t>
  </si>
  <si>
    <t>General consultation patients</t>
  </si>
  <si>
    <t>Specialised Consultation Patients</t>
  </si>
  <si>
    <t>Total Patient Growth</t>
  </si>
  <si>
    <t>Average number of tests per patient</t>
  </si>
  <si>
    <t>Total Tests</t>
  </si>
  <si>
    <t>% patients subject to testing</t>
  </si>
  <si>
    <t>Consultation Revenue Estimation</t>
  </si>
  <si>
    <t>Number of Patients</t>
  </si>
  <si>
    <t>Average Consultation Fee (USD)</t>
  </si>
  <si>
    <t>Consultation fee</t>
  </si>
  <si>
    <t>PATIENT DATA INPUTS</t>
  </si>
  <si>
    <t>Unit</t>
  </si>
  <si>
    <t>Patient growth</t>
  </si>
  <si>
    <t>VIETNAM DIAGNOSTIC SERVICE PROJECT</t>
  </si>
  <si>
    <t>Laboratory Testing</t>
  </si>
  <si>
    <t>Laboratory Testing Revenue</t>
  </si>
  <si>
    <t>[1] Medic</t>
  </si>
  <si>
    <t>[2] Medlatec</t>
  </si>
  <si>
    <t>[3] Diag</t>
  </si>
  <si>
    <t>[4] VietSing</t>
  </si>
  <si>
    <t>[5] Bach Mai</t>
  </si>
  <si>
    <t>[6] UMC</t>
  </si>
  <si>
    <t>[7] Cho Ray</t>
  </si>
  <si>
    <t>Patient Growth</t>
  </si>
  <si>
    <t>%</t>
  </si>
  <si>
    <t>Test</t>
  </si>
  <si>
    <t>Patient</t>
  </si>
  <si>
    <t>Average # of lab tests per patient</t>
  </si>
  <si>
    <t>Average # of diagnostic tests per patient</t>
  </si>
  <si>
    <t>In Year 5, the business will be the same size with Medic in 2002.</t>
  </si>
  <si>
    <t>Revenue Growth %</t>
  </si>
  <si>
    <t>In Year 5, the business will be the same size with Medic in NOW!.</t>
  </si>
  <si>
    <t>Annual Price Increase (USD term)</t>
  </si>
  <si>
    <t>Price Inflation rate!</t>
  </si>
  <si>
    <t>5-YEAR PROFIT AND LOSS ACCOUNTS</t>
  </si>
  <si>
    <t>I</t>
  </si>
  <si>
    <t>REVENUE</t>
  </si>
  <si>
    <t>II</t>
  </si>
  <si>
    <t xml:space="preserve">KEY PATIENT DATA </t>
  </si>
  <si>
    <t>Consultation Rate</t>
  </si>
  <si>
    <t>Laboratory Testing Rate</t>
  </si>
  <si>
    <t>Diagnostic Imaging Rate</t>
  </si>
  <si>
    <t># of lab tests per patient</t>
  </si>
  <si>
    <t># of diagnostic tests per patient</t>
  </si>
  <si>
    <t>Consultation Rate (USD)</t>
  </si>
  <si>
    <t>Laboratory Testing Rate (USD)</t>
  </si>
  <si>
    <t># Patients per Day</t>
  </si>
  <si>
    <t># Patients per Annum</t>
  </si>
  <si>
    <t>III</t>
  </si>
  <si>
    <t>COST OF SALES</t>
  </si>
  <si>
    <t>IV</t>
  </si>
  <si>
    <t>GROSS PROFIT</t>
  </si>
  <si>
    <t>V</t>
  </si>
  <si>
    <t>OPERATING EXPENSES</t>
  </si>
  <si>
    <t>VI</t>
  </si>
  <si>
    <t>EBITDA</t>
  </si>
  <si>
    <t>VII</t>
  </si>
  <si>
    <t>Less: Depreciation</t>
  </si>
  <si>
    <t>EBIT</t>
  </si>
  <si>
    <t>Less: Interest Expenses</t>
  </si>
  <si>
    <t>VIII</t>
  </si>
  <si>
    <t>PROFIT BEFORE TAX</t>
  </si>
  <si>
    <t>Business days per year</t>
  </si>
  <si>
    <t>Day</t>
  </si>
  <si>
    <t>ok</t>
  </si>
  <si>
    <t>Analysis of Pre-Operational Costs</t>
  </si>
  <si>
    <t>SKT Biz</t>
  </si>
  <si>
    <t>Payroll</t>
  </si>
  <si>
    <t>DIAGNOSTIC SERVICE PROJECT</t>
  </si>
  <si>
    <t>Year 1 Payroll</t>
  </si>
  <si>
    <t>Unit: US$'000</t>
  </si>
  <si>
    <t>Positions</t>
  </si>
  <si>
    <t>FT/PT</t>
  </si>
  <si>
    <t>Quantity</t>
  </si>
  <si>
    <t>Base Salary</t>
  </si>
  <si>
    <t>Notes</t>
  </si>
  <si>
    <t>Management</t>
  </si>
  <si>
    <t>President</t>
  </si>
  <si>
    <t>FT</t>
  </si>
  <si>
    <t>CEO</t>
  </si>
  <si>
    <t>CFO</t>
  </si>
  <si>
    <t>Managing Director</t>
  </si>
  <si>
    <t>Administrative</t>
  </si>
  <si>
    <t>Finance &amp; Accounting</t>
  </si>
  <si>
    <t>Financial Controller</t>
  </si>
  <si>
    <t>Accountant</t>
  </si>
  <si>
    <t>Human Resource Management</t>
  </si>
  <si>
    <t>Human Resource Director</t>
  </si>
  <si>
    <t>Associate</t>
  </si>
  <si>
    <t>Health Service Unit</t>
  </si>
  <si>
    <t>Department Head</t>
  </si>
  <si>
    <t>Doctors</t>
  </si>
  <si>
    <t>PT</t>
  </si>
  <si>
    <t>Nurses</t>
  </si>
  <si>
    <t>Pharmacists</t>
  </si>
  <si>
    <t>Engineers</t>
  </si>
  <si>
    <t>Technicians</t>
  </si>
  <si>
    <t>Imaging Diagnosis Service</t>
  </si>
  <si>
    <t>X-Ray</t>
  </si>
  <si>
    <t xml:space="preserve">      -   </t>
  </si>
  <si>
    <t>CT Scan</t>
  </si>
  <si>
    <t>Supporting Units</t>
  </si>
  <si>
    <t>Marketing</t>
  </si>
  <si>
    <t>Marketing Manager</t>
  </si>
  <si>
    <t>Delivery</t>
  </si>
  <si>
    <t>Delivery Manager</t>
  </si>
  <si>
    <t>IT</t>
  </si>
  <si>
    <t>IT Manager</t>
  </si>
  <si>
    <t>Others</t>
  </si>
  <si>
    <t>Reception</t>
  </si>
  <si>
    <t>Cleaners</t>
  </si>
  <si>
    <t>General Drivers</t>
  </si>
  <si>
    <t>Security</t>
  </si>
  <si>
    <t>Parking</t>
  </si>
  <si>
    <t>Laundry</t>
  </si>
  <si>
    <t>% FT</t>
  </si>
  <si>
    <t>SUMMARY</t>
  </si>
  <si>
    <t>HEADCOUNT</t>
  </si>
  <si>
    <t>GROSS PAYROLL</t>
  </si>
  <si>
    <t>Business Unit</t>
  </si>
  <si>
    <t>START-UP PHASE</t>
  </si>
  <si>
    <t>Subtotal</t>
  </si>
  <si>
    <t>Bonus</t>
  </si>
  <si>
    <t>TOTAL PAYROLL</t>
  </si>
  <si>
    <t>Average Staff Cost Per Annum</t>
  </si>
  <si>
    <t>HEADCOUNT FORECAST</t>
  </si>
  <si>
    <t>Annual</t>
  </si>
  <si>
    <t>Gross</t>
  </si>
  <si>
    <t>Staff 02</t>
  </si>
  <si>
    <t>Staff 01</t>
  </si>
  <si>
    <t>Total Start-up</t>
  </si>
  <si>
    <t>Total Management</t>
  </si>
  <si>
    <t>Total Finance &amp; Accounting</t>
  </si>
  <si>
    <t>Human Resources Management</t>
  </si>
  <si>
    <t>Total HR</t>
  </si>
  <si>
    <t>Total Consultation</t>
  </si>
  <si>
    <t>Laboratory Services</t>
  </si>
  <si>
    <t>Total Laboratory Services</t>
  </si>
  <si>
    <t>Imaging Diagnosis</t>
  </si>
  <si>
    <t>Total Imaging Diagnosis</t>
  </si>
  <si>
    <t>Total Marketing</t>
  </si>
  <si>
    <t>Total Delivery</t>
  </si>
  <si>
    <t>Marketing/Delivery/IT ManagerFT</t>
  </si>
  <si>
    <t>Total IT</t>
  </si>
  <si>
    <t>Total</t>
  </si>
  <si>
    <t>No of</t>
  </si>
  <si>
    <t>Note</t>
  </si>
  <si>
    <t>Staff</t>
  </si>
  <si>
    <t>check</t>
  </si>
  <si>
    <t>TOTAL</t>
  </si>
  <si>
    <t>STAFF BREAKDOWN</t>
  </si>
  <si>
    <t>Full-time</t>
  </si>
  <si>
    <t>Part-time</t>
  </si>
  <si>
    <t>Total Professionals</t>
  </si>
  <si>
    <t>Professional</t>
  </si>
  <si>
    <t>NET</t>
  </si>
  <si>
    <t>GROSS</t>
  </si>
  <si>
    <t>Yearly</t>
  </si>
  <si>
    <t>Monthly</t>
  </si>
  <si>
    <t>US $</t>
  </si>
  <si>
    <t>million VND</t>
  </si>
  <si>
    <t>thousand VND</t>
  </si>
  <si>
    <t>Marketing/Delivery/IT Manager</t>
  </si>
  <si>
    <t>Tax &amp; Social Science for Director &amp; Above</t>
  </si>
  <si>
    <t>of base salary</t>
  </si>
  <si>
    <t>Tax &amp; Social Science for FT Staff</t>
  </si>
  <si>
    <t>Salary increase per annum</t>
  </si>
  <si>
    <t>START-UP PHASE (Jan 2013 - June 2013)</t>
  </si>
  <si>
    <t>Monthly Salary</t>
  </si>
  <si>
    <t>Base Salary (Year)</t>
  </si>
  <si>
    <t>Monthly Headcount</t>
  </si>
  <si>
    <t>Monthly Payroll</t>
  </si>
  <si>
    <t>Medic Personnel by Department</t>
  </si>
  <si>
    <t>Lab Testing Deparment</t>
  </si>
  <si>
    <t>CT Scanner and MRI</t>
  </si>
  <si>
    <t>Diagnosis</t>
  </si>
  <si>
    <t>Anatomical pathology</t>
  </si>
  <si>
    <t>Liver Diagnosis</t>
  </si>
  <si>
    <t>DSA (Digital subtraction angiography)</t>
  </si>
  <si>
    <t>Units: US $</t>
  </si>
  <si>
    <t>MonthlyHeadcount</t>
  </si>
  <si>
    <t>test per staff</t>
  </si>
  <si>
    <t>time per staff</t>
  </si>
  <si>
    <t>Types of Expenses</t>
  </si>
  <si>
    <t>Year1</t>
  </si>
  <si>
    <t>Administration</t>
  </si>
  <si>
    <t>Office Rent, Utilities&amp; Supplies</t>
  </si>
  <si>
    <t>Marketing &amp; Advertising</t>
  </si>
  <si>
    <t>Education &amp; Training</t>
  </si>
  <si>
    <t>Maintenance</t>
  </si>
  <si>
    <t xml:space="preserve">Rental Area </t>
  </si>
  <si>
    <t>m2</t>
  </si>
  <si>
    <t>As in Year 1</t>
  </si>
  <si>
    <t>Rental Fee</t>
  </si>
  <si>
    <t>per m2 per month</t>
  </si>
  <si>
    <t>District 1</t>
  </si>
  <si>
    <t>Office Supplies</t>
  </si>
  <si>
    <t>Per Staff per month</t>
  </si>
  <si>
    <t>Commission revenue sharing structure</t>
  </si>
  <si>
    <t>referral revenue</t>
  </si>
  <si>
    <t>Marketing Expenses/ Total Revenue</t>
  </si>
  <si>
    <t>Maintenance Expenses</t>
  </si>
  <si>
    <t>R&amp;D/Total Revenue</t>
  </si>
  <si>
    <t>Year 1 Operating Expenses</t>
  </si>
  <si>
    <t>Types of Expense</t>
  </si>
  <si>
    <t>Professional fees (legal, accountancy, research)</t>
  </si>
  <si>
    <t>Months</t>
  </si>
  <si>
    <t>Communication (tel, post, and shipping)</t>
  </si>
  <si>
    <t>Internet Connection</t>
  </si>
  <si>
    <t>Fixed Telephone</t>
  </si>
  <si>
    <t>Staff Months</t>
  </si>
  <si>
    <t>Mobile Telephone</t>
  </si>
  <si>
    <t>Oversea Trips</t>
  </si>
  <si>
    <t>Trips</t>
  </si>
  <si>
    <t>Domestic Travel and Entertainment</t>
  </si>
  <si>
    <t>Asset Insurance</t>
  </si>
  <si>
    <t>Office Rent</t>
  </si>
  <si>
    <t>Utilities</t>
  </si>
  <si>
    <t>Gifts</t>
  </si>
  <si>
    <t>Postages</t>
  </si>
  <si>
    <t>Letters</t>
  </si>
  <si>
    <t>Printing, Publications and Reproductions</t>
  </si>
  <si>
    <t>Media</t>
  </si>
  <si>
    <t>Professional Conferences</t>
  </si>
  <si>
    <t>Conferences</t>
  </si>
  <si>
    <t>Technicians/Nurses</t>
  </si>
  <si>
    <t>Testing equipments</t>
  </si>
  <si>
    <t>per equipment</t>
  </si>
  <si>
    <t>Imaging Diagnosis equipments</t>
  </si>
  <si>
    <t>Office cars/vehicles</t>
  </si>
  <si>
    <t>per car/vehicle</t>
  </si>
  <si>
    <t>Office Infrastructure</t>
  </si>
  <si>
    <t>per m2</t>
  </si>
  <si>
    <t>per item</t>
  </si>
  <si>
    <t>Commission</t>
  </si>
  <si>
    <t>Professional Organization Membership</t>
  </si>
  <si>
    <t>Authority Relationship Management</t>
  </si>
  <si>
    <t>Sanitary</t>
  </si>
  <si>
    <t>R&amp;D</t>
  </si>
  <si>
    <t>OPERATING EXPENSE DRIVERS</t>
  </si>
  <si>
    <t>TOTAL HEADCOUNT FROM JULY 2013</t>
  </si>
  <si>
    <t>OPERATING EXPENSES GROWTH ASSUMPTION</t>
  </si>
  <si>
    <t>QUANTITY</t>
  </si>
  <si>
    <t>Education per doctors</t>
  </si>
  <si>
    <t>Education per technicians/ nurses</t>
  </si>
  <si>
    <t>Technicians/ Nurses</t>
  </si>
  <si>
    <t># of doctors</t>
  </si>
  <si>
    <t># of technicians</t>
  </si>
  <si>
    <t># of nurses</t>
  </si>
  <si>
    <t>#of doctors full-time</t>
  </si>
  <si>
    <t>#of technicians full-time</t>
  </si>
  <si>
    <t># of nurses full-time</t>
  </si>
  <si>
    <t># of full-time staff</t>
  </si>
  <si>
    <t># of other FT Staff</t>
  </si>
  <si>
    <t>Total Revenue</t>
  </si>
  <si>
    <t>Marketing Expenses</t>
  </si>
  <si>
    <t>Total Marketing Expenses</t>
  </si>
  <si>
    <t>Education per FT staff (others)</t>
  </si>
  <si>
    <t>US$ per month</t>
  </si>
  <si>
    <t>Annual Growth</t>
  </si>
  <si>
    <t>Other FT Staff</t>
  </si>
  <si>
    <t>ASSUMPTION OF REVENUE FROM REFERRAL</t>
  </si>
  <si>
    <t>% referred patients</t>
  </si>
  <si>
    <t># referred patients</t>
  </si>
  <si>
    <t>Revenue from referred patients</t>
  </si>
  <si>
    <t>Average Revenue per patient</t>
  </si>
  <si>
    <t>for doctors refer</t>
  </si>
  <si>
    <t>Patients per day</t>
  </si>
  <si>
    <t>Area (m2)</t>
  </si>
  <si>
    <t>Medlatec</t>
  </si>
  <si>
    <t>Diag</t>
  </si>
  <si>
    <t>Vigor</t>
  </si>
  <si>
    <t>Rental Area Recommended</t>
  </si>
  <si>
    <t>Projected Patients per day</t>
  </si>
  <si>
    <t>Years</t>
  </si>
  <si>
    <t>Per year</t>
  </si>
  <si>
    <t>Asset Insurance/Total Revenue</t>
  </si>
  <si>
    <t>Maintenance Expenses/CAPEX</t>
  </si>
  <si>
    <t>Utilities/ Total Revenue</t>
  </si>
  <si>
    <t>SECONDARY ASSUMPTIONS</t>
  </si>
  <si>
    <t>Cost per unit</t>
  </si>
  <si>
    <t>% growth</t>
  </si>
  <si>
    <t>Equipment</t>
  </si>
  <si>
    <t>Furnitures</t>
  </si>
  <si>
    <t>Check-up</t>
  </si>
  <si>
    <t>Ống nghe bệnh người lớn</t>
  </si>
  <si>
    <t>cái</t>
  </si>
  <si>
    <t>Ống nghe trẻ em</t>
  </si>
  <si>
    <t>Huyết áp kế người lớn</t>
  </si>
  <si>
    <t>Huyết áp kế trẻ em</t>
  </si>
  <si>
    <r>
      <t>Nhiệt kế y học 42</t>
    </r>
    <r>
      <rPr>
        <vertAlign val="superscript"/>
        <sz val="10"/>
        <color theme="1"/>
        <rFont val="Arial"/>
        <family val="2"/>
      </rPr>
      <t>0</t>
    </r>
    <r>
      <rPr>
        <sz val="10"/>
        <color theme="1"/>
        <rFont val="Arial"/>
        <family val="2"/>
      </rPr>
      <t>C</t>
    </r>
  </si>
  <si>
    <t>Bàn khám bệnh người lớn</t>
  </si>
  <si>
    <t>Bàn khám bệnh trẻ em</t>
  </si>
  <si>
    <t>Giường bệnh</t>
  </si>
  <si>
    <t>Giường cấp cứu</t>
  </si>
  <si>
    <t>Đèn khám bệnh</t>
  </si>
  <si>
    <t>Đèn khám bệnh treo trán</t>
  </si>
  <si>
    <t>Cân trọng lượng có thước đo chiều cao</t>
  </si>
  <si>
    <t>Đèn đọc phim X-quang</t>
  </si>
  <si>
    <t>Tủ lạnh</t>
  </si>
  <si>
    <r>
      <t>Tủ sấy điện, 250</t>
    </r>
    <r>
      <rPr>
        <vertAlign val="superscript"/>
        <sz val="10"/>
        <color theme="1"/>
        <rFont val="Arial"/>
        <family val="2"/>
      </rPr>
      <t>0</t>
    </r>
    <r>
      <rPr>
        <sz val="10"/>
        <color theme="1"/>
        <rFont val="Arial"/>
        <family val="2"/>
      </rPr>
      <t>C</t>
    </r>
  </si>
  <si>
    <t>Lò sưởi điện</t>
  </si>
  <si>
    <t>Tủ đựng dụng cụ</t>
  </si>
  <si>
    <t>Bàn đẩy dụng cụ</t>
  </si>
  <si>
    <t>Tủ đựng tài liệu</t>
  </si>
  <si>
    <t>Bàn làm việc</t>
  </si>
  <si>
    <t xml:space="preserve">Ghế </t>
  </si>
  <si>
    <t xml:space="preserve">Ghế đẩu quay  </t>
  </si>
  <si>
    <t>Ghế băng cho bệnh nhân</t>
  </si>
  <si>
    <t>Bảng viết</t>
  </si>
  <si>
    <t>Hệ thống loa, tăng âm hướng dẫn bệnh nhân</t>
  </si>
  <si>
    <t>HT</t>
  </si>
  <si>
    <t>Hệ thống monitor (màn hình) hướng dẫn bệnh nhân</t>
  </si>
  <si>
    <t>Nồi luộc dụng cụ</t>
  </si>
  <si>
    <t>Máy điện tim</t>
  </si>
  <si>
    <t>Bộ dụng cụ tiểu phẫu</t>
  </si>
  <si>
    <t>bộ</t>
  </si>
  <si>
    <t>Bộ dụng cụ khám bệnh</t>
  </si>
  <si>
    <t>Búa thử phản xạ</t>
  </si>
  <si>
    <t>Bơm tiêm một lần các loại</t>
  </si>
  <si>
    <t>Máy huỷ bơm kim tiêm</t>
  </si>
  <si>
    <t>Đèn cực tím tiệt trùng</t>
  </si>
  <si>
    <t>Xe đẩy bệnh nhân</t>
  </si>
  <si>
    <t>Cáng đẩy</t>
  </si>
  <si>
    <t>Cáng tay</t>
  </si>
  <si>
    <t>Hộp thu gom vật sắc nhọn</t>
  </si>
  <si>
    <t>Thùng rác</t>
  </si>
  <si>
    <t>Thùng đựng nước uống cho bệnh nhân</t>
  </si>
  <si>
    <t>Máy vi tính + máy in</t>
  </si>
  <si>
    <t>Máy phân tích huyết học tự động (Máy đếm tế bào tự động 18 hoặc 22 thông số)</t>
  </si>
  <si>
    <t>Máy phân tích huyết học bán tự động (8 đến 12 thông số)</t>
  </si>
  <si>
    <t>Máy đo độ đông máu tự động</t>
  </si>
  <si>
    <t>Hệ thống xét nghiệm Elisa</t>
  </si>
  <si>
    <t>Đèn Clar</t>
  </si>
  <si>
    <t>Giá để ống nghiệm các loại</t>
  </si>
  <si>
    <t>Dụng cụ thuỷ tinh phòng xét nghiệm như: ống nghiệm các loại, lam kính, đĩa lồng, đũa thuỷ tinh, các loại bình hình nón, hình cầu, hình trụ, cốc đong, phễu,.v.v...</t>
  </si>
  <si>
    <t>đủ dùng</t>
  </si>
  <si>
    <t>Cân kỹ thuật 0,1 gr</t>
  </si>
  <si>
    <t>Cân phân tích 0,1 mg</t>
  </si>
  <si>
    <t>Cân Roberval</t>
  </si>
  <si>
    <t>Hốt vô trùng</t>
  </si>
  <si>
    <t>Máy cất nước 2 lần 5 L/h</t>
  </si>
  <si>
    <t>Máy cất nước 20 L/h</t>
  </si>
  <si>
    <t>Máy hút chân không</t>
  </si>
  <si>
    <t>Máy hút ẩm</t>
  </si>
  <si>
    <t xml:space="preserve">Máy khuấy từ </t>
  </si>
  <si>
    <t>Máy lắc</t>
  </si>
  <si>
    <t>Máy lọc nước và chất lỏng</t>
  </si>
  <si>
    <t>Máy lọc Reitz kèm giấy và màng lọc</t>
  </si>
  <si>
    <t>Máy ly tâm máu 24 ống mao quản</t>
  </si>
  <si>
    <t>Máy ly tâm đa năng</t>
  </si>
  <si>
    <t>Máy nhỏ giọt</t>
  </si>
  <si>
    <t>Máy lắc có cân để lấy máu</t>
  </si>
  <si>
    <t>Máy pha loãng</t>
  </si>
  <si>
    <t>Tủ lạnh trữ máu</t>
  </si>
  <si>
    <r>
      <t>Tủ lạnh sâu – 30</t>
    </r>
    <r>
      <rPr>
        <vertAlign val="superscript"/>
        <sz val="10"/>
        <color theme="1"/>
        <rFont val="Arial"/>
        <family val="2"/>
      </rPr>
      <t>0</t>
    </r>
    <r>
      <rPr>
        <sz val="10"/>
        <color theme="1"/>
        <rFont val="Arial"/>
        <family val="2"/>
      </rPr>
      <t>C</t>
    </r>
  </si>
  <si>
    <t>Máy ly tâm lạnh sử dụng cả ống lẫn túi máu</t>
  </si>
  <si>
    <t>Kính hiển vi 2 mắt</t>
  </si>
  <si>
    <t>Kính hiển vi có máy ảnh</t>
  </si>
  <si>
    <t>Đồng hồ đếm giây</t>
  </si>
  <si>
    <t>Đồng hồ đếm phút</t>
  </si>
  <si>
    <t>Đèn cực tím</t>
  </si>
  <si>
    <t>Máy nhuộm tiêu bản</t>
  </si>
  <si>
    <t>Máy đo kết dính tiểu cầu</t>
  </si>
  <si>
    <t>Máy lắc tiểu cầu</t>
  </si>
  <si>
    <t>Máy đo độ pH máu</t>
  </si>
  <si>
    <t>Tủ lạnh 220 lít</t>
  </si>
  <si>
    <t>Pipette tay các loại</t>
  </si>
  <si>
    <t>Pipette tự động các loại (P10, P20, P100, P1000) ml</t>
  </si>
  <si>
    <t>Túi lấy trữ máu</t>
  </si>
  <si>
    <t>Kim chọc tuỷ sống</t>
  </si>
  <si>
    <t>Kim sinh thiết tuỷ</t>
  </si>
  <si>
    <t>Máy huỷ bơm tiêm 1 lần</t>
  </si>
  <si>
    <t>Găng tay y tế, cỡ 6,5 và 7</t>
  </si>
  <si>
    <t>Thùng đựng rác</t>
  </si>
  <si>
    <t>Thùng đựng nước uống</t>
  </si>
  <si>
    <t>Máy phân tích sinh hoá tự động</t>
  </si>
  <si>
    <t>Máy phân tích sinh hoá bán tự động</t>
  </si>
  <si>
    <t>Máy phân tích khí máu</t>
  </si>
  <si>
    <t>Máy đo điện giải đồ dùng điện cực chọn lọc</t>
  </si>
  <si>
    <t>Máy phân tích miễn dịch tự động</t>
  </si>
  <si>
    <t>Máy phân tích nước tiểu tự động 10 thông số</t>
  </si>
  <si>
    <t>Máy điện di</t>
  </si>
  <si>
    <t>Máy đo độ pH</t>
  </si>
  <si>
    <t>Tỷ trọng kế</t>
  </si>
  <si>
    <t>Máy cất nước 2 lần 5L/h</t>
  </si>
  <si>
    <t>Máy cất nước 2 lần 20L/h</t>
  </si>
  <si>
    <t>Máy khuấy từ</t>
  </si>
  <si>
    <t>Máy ly tâm 24 ống mao dẫn</t>
  </si>
  <si>
    <t>Thẩm thấu kế</t>
  </si>
  <si>
    <t>Kính lúp</t>
  </si>
  <si>
    <t>Nồi cách dầu</t>
  </si>
  <si>
    <t>Nồi cách thuỷ</t>
  </si>
  <si>
    <t>Tủ lạnh 200 lít</t>
  </si>
  <si>
    <r>
      <t>Tủ ấm 37</t>
    </r>
    <r>
      <rPr>
        <vertAlign val="superscript"/>
        <sz val="10"/>
        <color theme="1"/>
        <rFont val="Arial"/>
        <family val="2"/>
      </rPr>
      <t>0</t>
    </r>
    <r>
      <rPr>
        <sz val="10"/>
        <color theme="1"/>
        <rFont val="Arial"/>
        <family val="2"/>
      </rPr>
      <t>C - 56</t>
    </r>
    <r>
      <rPr>
        <vertAlign val="superscript"/>
        <sz val="10"/>
        <color theme="1"/>
        <rFont val="Arial"/>
        <family val="2"/>
      </rPr>
      <t>0</t>
    </r>
    <r>
      <rPr>
        <sz val="10"/>
        <color theme="1"/>
        <rFont val="Arial"/>
        <family val="2"/>
      </rPr>
      <t>C</t>
    </r>
  </si>
  <si>
    <r>
      <t>Tủ lạnh + ấm (4</t>
    </r>
    <r>
      <rPr>
        <vertAlign val="superscript"/>
        <sz val="10"/>
        <color theme="1"/>
        <rFont val="Arial"/>
        <family val="2"/>
      </rPr>
      <t>0</t>
    </r>
    <r>
      <rPr>
        <sz val="10"/>
        <color theme="1"/>
        <rFont val="Arial"/>
        <family val="2"/>
      </rPr>
      <t>C - 37</t>
    </r>
    <r>
      <rPr>
        <vertAlign val="superscript"/>
        <sz val="10"/>
        <color theme="1"/>
        <rFont val="Arial"/>
        <family val="2"/>
      </rPr>
      <t>0</t>
    </r>
    <r>
      <rPr>
        <sz val="10"/>
        <color theme="1"/>
        <rFont val="Arial"/>
        <family val="2"/>
      </rPr>
      <t>C)</t>
    </r>
  </si>
  <si>
    <r>
      <t>Tủ sấy điện 250</t>
    </r>
    <r>
      <rPr>
        <vertAlign val="superscript"/>
        <sz val="10"/>
        <color theme="1"/>
        <rFont val="Arial"/>
        <family val="2"/>
      </rPr>
      <t>0</t>
    </r>
    <r>
      <rPr>
        <sz val="10"/>
        <color theme="1"/>
        <rFont val="Arial"/>
        <family val="2"/>
      </rPr>
      <t>C loại lớn</t>
    </r>
  </si>
  <si>
    <r>
      <t>Tủ sấy điện 250</t>
    </r>
    <r>
      <rPr>
        <vertAlign val="superscript"/>
        <sz val="10"/>
        <color theme="1"/>
        <rFont val="Arial"/>
        <family val="2"/>
      </rPr>
      <t>0</t>
    </r>
    <r>
      <rPr>
        <sz val="10"/>
        <color theme="1"/>
        <rFont val="Arial"/>
        <family val="2"/>
      </rPr>
      <t>C loại nhỏ</t>
    </r>
  </si>
  <si>
    <t>Tủ hút hơi khí độc</t>
  </si>
  <si>
    <t>Hệ thống làm tinh khiết nước</t>
  </si>
  <si>
    <t>Máy rửa siêu âm</t>
  </si>
  <si>
    <t>Bơm tiêm 1 lần các loại</t>
  </si>
  <si>
    <t>Máy điều hoà nhiệt độ</t>
  </si>
  <si>
    <t>Máy đếm khuẩn lạc</t>
  </si>
  <si>
    <t>Máy định danh vi khuẩn</t>
  </si>
  <si>
    <t>Máy định danh vi rút (dành cho bệnh viện khu vực liên tỉnh)</t>
  </si>
  <si>
    <t>Máy làm khuẩn làm kháng sinh đồ</t>
  </si>
  <si>
    <t>Máy phát hiện ký sinh trùng sốt rét</t>
  </si>
  <si>
    <t>Máy thử phản ứng ngưng kết</t>
  </si>
  <si>
    <t>Máy lọc Seitz kèm giấy và màng lọc</t>
  </si>
  <si>
    <t xml:space="preserve">Máy ly tâm nước tiểu </t>
  </si>
  <si>
    <t>Máy nghiền mãu ướt</t>
  </si>
  <si>
    <t>Máy xay mẫu khô</t>
  </si>
  <si>
    <t>Máy làm sạch dụng cụ bằng siêu âm</t>
  </si>
  <si>
    <t>Kính hiển vi huỳnh quang</t>
  </si>
  <si>
    <t>Kính hiển vi có chụp ảnh</t>
  </si>
  <si>
    <t>Nồi hấp điện loại 50 – 70 lít</t>
  </si>
  <si>
    <t>Tủ nuôi cấy có CO2</t>
  </si>
  <si>
    <t>Tủ nuôi cấy vi sinh</t>
  </si>
  <si>
    <t>Tủ nuôi cấy yếm khí</t>
  </si>
  <si>
    <t>Hệ thống chụp cắt lớp vi tính kèm máy bơm thuốc cản quang</t>
  </si>
  <si>
    <t>Hệ thống chụp cộng hưởng từ loại (dành cho bệnh viện khu vực)</t>
  </si>
  <si>
    <t>Máy chụp mạch máu (dành cho bệnh viện khu vực)</t>
  </si>
  <si>
    <t>Máy X-quang truyền hình &gt; 500 mA, chụp và chiếu, 2 bàn 2 bóng</t>
  </si>
  <si>
    <t>Máy X-quang chẩn đoán thường quy 500 mA, 2 bàn 2 bóng</t>
  </si>
  <si>
    <t>Máy X-quang chụp thường quy 300 mA</t>
  </si>
  <si>
    <t>Máy X-quang di động</t>
  </si>
  <si>
    <t>Máy X-quang chụp vú</t>
  </si>
  <si>
    <t>Máy X-quang có cánh tay chữ C (đặt tại phòng mổ)</t>
  </si>
  <si>
    <t>Máy siêu âm màu số hoá, Doppler + máy in màu hoặc máy in đen trắng</t>
  </si>
  <si>
    <t>Máy siêu âm đen trắng</t>
  </si>
  <si>
    <t>Máy siêu âm sách tay</t>
  </si>
  <si>
    <t xml:space="preserve">Trạm lưu trữ và xử lý hình ảnh, dữ liệu trong mạng thông tin nội bộ </t>
  </si>
  <si>
    <t>Cassette + bìa tăng quang kích thước 13x18cm, 18x24cm, 24x30cm, 30x40cm, 35x35cm, 35x40cm</t>
  </si>
  <si>
    <t xml:space="preserve">đủ dùng các loại khoảng 60 cái  </t>
  </si>
  <si>
    <t>Đèn đọc phim x-quang loại 6 phim</t>
  </si>
  <si>
    <t>Đèn đọc phim x-quang loại 2-3 phim 30x40cm</t>
  </si>
  <si>
    <t>Găng tay cao su chì</t>
  </si>
  <si>
    <t>đôi</t>
  </si>
  <si>
    <t>Yếm chì</t>
  </si>
  <si>
    <t>Bình phong chì</t>
  </si>
  <si>
    <t>Bậc lên xuống (2 bậc)</t>
  </si>
  <si>
    <t>Chữ Aphabest bằng chì</t>
  </si>
  <si>
    <t>Khung treo phim X-quang thép không rỉ các cỡ</t>
  </si>
  <si>
    <t>Đèn đỏ buồng tốI</t>
  </si>
  <si>
    <t>Máy rửa phim X- quang tự động</t>
  </si>
  <si>
    <t>Tủ lạng</t>
  </si>
  <si>
    <t>Tủ đựng phim chưa chụp</t>
  </si>
  <si>
    <t>Bốc tháo thụt</t>
  </si>
  <si>
    <t>Ca, thìa</t>
  </si>
  <si>
    <t>Bơm tiêm một lần các loạI</t>
  </si>
  <si>
    <t>Hộp thi gom vật sắc nhọn</t>
  </si>
  <si>
    <t>Thùng dựng nước uống</t>
  </si>
  <si>
    <t>Bộ nọI soi có hệ thống video</t>
  </si>
  <si>
    <t>Bộ nộI soi đạI tràng ống mềm + nguồn sáng</t>
  </si>
  <si>
    <t>Bộ dạ dày tá tràng ống mềm + nguồn sáng</t>
  </si>
  <si>
    <t>Bộ soi bàng quang</t>
  </si>
  <si>
    <t>Bộ soi mũi</t>
  </si>
  <si>
    <t>Bộ soi thanh quản</t>
  </si>
  <si>
    <t>Bộ soi phế quản</t>
  </si>
  <si>
    <t>Bộ soi đường mật</t>
  </si>
  <si>
    <t>Bộ soi cổ tử cung</t>
  </si>
  <si>
    <t>Bộ soi ốI</t>
  </si>
  <si>
    <t>thiết bị phẫu thuật nộI soi và dụng cụ phẫu thuật nộI soi khác</t>
  </si>
  <si>
    <t>tủ đựng thiết bị nộI soi</t>
  </si>
  <si>
    <t>Ống thông niệu đạo</t>
  </si>
  <si>
    <t>Máy gây mê</t>
  </si>
  <si>
    <t>Máy giúp thở</t>
  </si>
  <si>
    <t>Máy hút điện</t>
  </si>
  <si>
    <t>Giường bệnh (không trong chỉ tiêu)</t>
  </si>
  <si>
    <t>Giá truyền huyết thanh</t>
  </si>
  <si>
    <t>Máy huỷ bơm tiêm một lần</t>
  </si>
  <si>
    <t>Găng tay y tế cỡ 5, 6 và 7</t>
  </si>
  <si>
    <t xml:space="preserve">Hộp thu gom v ật s ắc nhọn </t>
  </si>
  <si>
    <t>Cái</t>
  </si>
  <si>
    <t>Máy vi tính + Máy in</t>
  </si>
  <si>
    <t>Kính hiện chụp ảnh</t>
  </si>
  <si>
    <t>Kính hiển vi phân lực</t>
  </si>
  <si>
    <t>Kính hiển vi mô tự động</t>
  </si>
  <si>
    <t>Máy cắt lát vi thể</t>
  </si>
  <si>
    <t>Máy cắt lát vi thể đông lạnh</t>
  </si>
  <si>
    <t>Lưỡi dao cắt thái mỏng</t>
  </si>
  <si>
    <t>Máy mài dao cắt lát</t>
  </si>
  <si>
    <t>Khuôn đúc parafin</t>
  </si>
  <si>
    <t>Lò nấu parafin</t>
  </si>
  <si>
    <t>Máy sấy tiêu bản</t>
  </si>
  <si>
    <t>ấiMý li tâm</t>
  </si>
  <si>
    <t>NồI cách thuỷ</t>
  </si>
  <si>
    <t>NồI cất nước 5 lít/giờ</t>
  </si>
  <si>
    <t>Cân phân tích</t>
  </si>
  <si>
    <t>Cân (phủ tạng)</t>
  </si>
  <si>
    <t>Máy đo pH</t>
  </si>
  <si>
    <t>Bàn phân tích bệnh phẩm</t>
  </si>
  <si>
    <t>Bộ dụng cụ phòng thí nghiệm</t>
  </si>
  <si>
    <t>Bộ dụng cụ khám nghiệm tử thi</t>
  </si>
  <si>
    <t>Bàn khám nghiệm tử thi</t>
  </si>
  <si>
    <t>tủ lạnh lưu giữ tử thi (2 xác)</t>
  </si>
  <si>
    <r>
      <t>Tủ ấm 37</t>
    </r>
    <r>
      <rPr>
        <vertAlign val="superscript"/>
        <sz val="10"/>
        <color theme="1"/>
        <rFont val="Arial"/>
        <family val="2"/>
      </rPr>
      <t>0</t>
    </r>
    <r>
      <rPr>
        <sz val="10"/>
        <color theme="1"/>
        <rFont val="Arial"/>
        <family val="2"/>
      </rPr>
      <t>C – 56</t>
    </r>
    <r>
      <rPr>
        <vertAlign val="superscript"/>
        <sz val="10"/>
        <color theme="1"/>
        <rFont val="Arial"/>
        <family val="2"/>
      </rPr>
      <t>0</t>
    </r>
    <r>
      <rPr>
        <sz val="10"/>
        <color theme="1"/>
        <rFont val="Arial"/>
        <family val="2"/>
      </rPr>
      <t>C</t>
    </r>
  </si>
  <si>
    <r>
      <t>Tủ sấy 250</t>
    </r>
    <r>
      <rPr>
        <vertAlign val="superscript"/>
        <sz val="10"/>
        <color theme="1"/>
        <rFont val="Arial"/>
        <family val="2"/>
      </rPr>
      <t>0</t>
    </r>
    <r>
      <rPr>
        <sz val="10"/>
        <color theme="1"/>
        <rFont val="Arial"/>
        <family val="2"/>
      </rPr>
      <t>C</t>
    </r>
  </si>
  <si>
    <t>Ghế</t>
  </si>
  <si>
    <t>Tủ đưựngtài liệu, sách</t>
  </si>
  <si>
    <t>Giá sách để hồ sơ bệnh án</t>
  </si>
  <si>
    <t>Bảng</t>
  </si>
  <si>
    <t>Hệ thống mạng máy tính</t>
  </si>
  <si>
    <t>Máy tính cá nhân + máy in</t>
  </si>
  <si>
    <t>Máy quyay video</t>
  </si>
  <si>
    <t>Máy ảnh</t>
  </si>
  <si>
    <t>Máy video</t>
  </si>
  <si>
    <t>Thiết bị giảng dạy, hộI thảo như máy chiếu overhead, máy chiếu phim tấm dương bản, máy chiếu qua máy vi tính,…</t>
  </si>
  <si>
    <t>Máy thu hính 21 hoặc 29 inche</t>
  </si>
  <si>
    <t>Bàn Làm việc</t>
  </si>
  <si>
    <t>Giá sách</t>
  </si>
  <si>
    <t>Máy tính tay</t>
  </si>
  <si>
    <t>Két đựng tiền</t>
  </si>
  <si>
    <t>Tủ đầu giường</t>
  </si>
  <si>
    <t>Đèn bàn</t>
  </si>
  <si>
    <t>Bô dẹt</t>
  </si>
  <si>
    <t>Bô tròn</t>
  </si>
  <si>
    <t>Bình ô xy</t>
  </si>
  <si>
    <t>Bơm tiêm nhựa dùng một lầm các loạI</t>
  </si>
  <si>
    <t>Bơm tiêm thuỷ thinh 20 ml</t>
  </si>
  <si>
    <t>Bàn</t>
  </si>
  <si>
    <t>Cân ngườI lớn có thuớc đo</t>
  </si>
  <si>
    <t>Cân trẻ em</t>
  </si>
  <si>
    <t>Ca nhổ đờm</t>
  </si>
  <si>
    <t>Chậu các loạI</t>
  </si>
  <si>
    <t>Găng tay phẫu thuật</t>
  </si>
  <si>
    <t>Ghế đẩu</t>
  </si>
  <si>
    <t>Hộp hấp bông gạc các loạI</t>
  </si>
  <si>
    <t>Hộp hấp dụng cụ các laọI</t>
  </si>
  <si>
    <t>Lò sưởI điện</t>
  </si>
  <si>
    <t>Nạng tay</t>
  </si>
  <si>
    <t>Đôi</t>
  </si>
  <si>
    <t>NồI luộc bơm kim tiêm</t>
  </si>
  <si>
    <t>NồI luộc dụngcụ</t>
  </si>
  <si>
    <t>Tủ đựng thuốc</t>
  </si>
  <si>
    <r>
      <t>Tủ sấy điện 250</t>
    </r>
    <r>
      <rPr>
        <vertAlign val="superscript"/>
        <sz val="10"/>
        <color theme="1"/>
        <rFont val="Arial"/>
        <family val="2"/>
      </rPr>
      <t>0</t>
    </r>
    <r>
      <rPr>
        <sz val="10"/>
        <color theme="1"/>
        <rFont val="Arial"/>
        <family val="2"/>
      </rPr>
      <t>C</t>
    </r>
  </si>
  <si>
    <t>Tủ chườm nóng lạnh</t>
  </si>
  <si>
    <t>Tủ đưựngtài liệu</t>
  </si>
  <si>
    <t>Van cấp ô xy có đồng hồ</t>
  </si>
  <si>
    <t>Xô đựng nước</t>
  </si>
  <si>
    <t>Xe đẩy đồ vảI</t>
  </si>
  <si>
    <t>Xe đẩy bình ô xy</t>
  </si>
  <si>
    <t>cai</t>
  </si>
  <si>
    <t>Xe đẩy cấp phất thuóc</t>
  </si>
  <si>
    <t>Xe đẩy dụng cụ</t>
  </si>
  <si>
    <t>Xe lăn</t>
  </si>
  <si>
    <t>Xe ô tô cứu thương</t>
  </si>
  <si>
    <t>Xe 3 tấn đến 5 tấn</t>
  </si>
  <si>
    <t>Máy thu hình 21 inches</t>
  </si>
  <si>
    <t>Hệ thống phát điện dự phòng công suất 300 KVA</t>
  </si>
  <si>
    <t>Bình cấp nước lọc cho  các khoa phòng</t>
  </si>
  <si>
    <t>Điều hoà nhiệt độ cho các khoa phòng toàn bệnh viện</t>
  </si>
  <si>
    <t>Theo khả năng</t>
  </si>
  <si>
    <t>Hệ thống sản xuất và hệ thống ống dẫn cung cấp khí y tế (khí nén, áp lực âm-hút, và khí ô xy)</t>
  </si>
  <si>
    <t>hệ thống</t>
  </si>
  <si>
    <t>Mạng vi tính nội bộ máy chủ và các máy tính cá nhân tại các khoa phòng</t>
  </si>
  <si>
    <t>Thiết bị giảng dạy: Overhead, máy phim chiếu dương bản, micro, tăng âm,...</t>
  </si>
  <si>
    <t>nt</t>
  </si>
  <si>
    <t>Hệ thống trang âm hội trường</t>
  </si>
  <si>
    <t>Hệ thống quay vodeo</t>
  </si>
  <si>
    <t>Hệ thống tăng âm, loa cho các khoa phòng tại bệnh viện</t>
  </si>
  <si>
    <t>Hệ thống monitor hướng dẫn bệnh nhân</t>
  </si>
  <si>
    <t>Category</t>
  </si>
  <si>
    <t>Furniture</t>
  </si>
  <si>
    <t>Computer</t>
  </si>
  <si>
    <t>Vehicle</t>
  </si>
  <si>
    <t>Vehicles</t>
  </si>
  <si>
    <r>
      <t>List of Testing Equipment</t>
    </r>
    <r>
      <rPr>
        <b/>
        <sz val="10"/>
        <color rgb="FF000000"/>
        <rFont val="Calibri"/>
        <family val="2"/>
      </rPr>
      <t xml:space="preserve"> </t>
    </r>
  </si>
  <si>
    <t>3300 biochemical tests/h</t>
  </si>
  <si>
    <t>2400 biochemical tests/h</t>
  </si>
  <si>
    <t>6000 biochemical tests/h</t>
  </si>
  <si>
    <t xml:space="preserve">Instrument  </t>
  </si>
  <si>
    <r>
      <t>Sysmex</t>
    </r>
    <r>
      <rPr>
        <b/>
        <sz val="10"/>
        <color rgb="FF000000"/>
        <rFont val="Verdana"/>
        <family val="2"/>
      </rPr>
      <t xml:space="preserve"> </t>
    </r>
  </si>
  <si>
    <t>MEDIC</t>
  </si>
  <si>
    <t>ECG</t>
  </si>
  <si>
    <t>Laboratory - Hematology</t>
  </si>
  <si>
    <t>Sphygmomanometer</t>
  </si>
  <si>
    <t>Stethoscope</t>
  </si>
  <si>
    <t>Blood bank</t>
  </si>
  <si>
    <t>Blood gas analyzer</t>
  </si>
  <si>
    <t>Laboratory - Biochemistry</t>
  </si>
  <si>
    <t>Automated hematology analyzer</t>
  </si>
  <si>
    <t>Semi-auto hematology analyzer</t>
  </si>
  <si>
    <t>Automated Coagulation Instrument</t>
  </si>
  <si>
    <t>Automated chemistry analyzer</t>
  </si>
  <si>
    <t>Semi-automated chemistry analyzer</t>
  </si>
  <si>
    <t>Laboratory - Immunology</t>
  </si>
  <si>
    <t>Electropheris machine</t>
  </si>
  <si>
    <t>pH meter</t>
  </si>
  <si>
    <t>Electrolyte analyzer</t>
  </si>
  <si>
    <t>Centrifuge machine (24 tubes)</t>
  </si>
  <si>
    <t>Automated urine analyzer</t>
  </si>
  <si>
    <t>Laboratory blender</t>
  </si>
  <si>
    <t>Magnetic stirrer</t>
  </si>
  <si>
    <t>Centrifuge machine (versatile)</t>
  </si>
  <si>
    <t>Double distillation still (20 l per hour)</t>
  </si>
  <si>
    <t>Scale with Height measuring instrument</t>
  </si>
  <si>
    <t>Needle destroyer</t>
  </si>
  <si>
    <t>Elisa Test System</t>
  </si>
  <si>
    <t>Platelet incubator</t>
  </si>
  <si>
    <t>Platelet aggregation analyzer</t>
  </si>
  <si>
    <t>Automated immunology analyzer</t>
  </si>
  <si>
    <t>Colony counter</t>
  </si>
  <si>
    <t>Laboratory - Microbiology&amp; Parasitology</t>
  </si>
  <si>
    <t>Virus identification machine</t>
  </si>
  <si>
    <t>Microbial identification &amp; antibiotic susceptibility testing machine</t>
  </si>
  <si>
    <t>Laboratory - General equipments</t>
  </si>
  <si>
    <t>Laboratory - Molecular Biology</t>
  </si>
  <si>
    <t>Autoclave</t>
  </si>
  <si>
    <t>Microscrope</t>
  </si>
  <si>
    <t>Vacuum evaporator</t>
  </si>
  <si>
    <t>Incubator</t>
  </si>
  <si>
    <t>PCR machine (including genetic, virus quantification, etc.)</t>
  </si>
  <si>
    <t>Laboratory - Pathology</t>
  </si>
  <si>
    <t>Microtome</t>
  </si>
  <si>
    <t>Microtome cryostat</t>
  </si>
  <si>
    <t>Paraffin block storage</t>
  </si>
  <si>
    <t>Paraffin embedding station</t>
  </si>
  <si>
    <t>Slide stainer</t>
  </si>
  <si>
    <t>Slide dryer</t>
  </si>
  <si>
    <t>Chẩn đoán hình ảnh</t>
  </si>
  <si>
    <t>Máy MRI (cộng hưởng từ)</t>
  </si>
  <si>
    <t>Nhật</t>
  </si>
  <si>
    <t>MCCT 16 (CT Scanner đa chiều)</t>
  </si>
  <si>
    <t>Đức</t>
  </si>
  <si>
    <t>CT Scanner ≥ 6 lớp cắt</t>
  </si>
  <si>
    <t>Máy X quang 500mA</t>
  </si>
  <si>
    <t>Hàn Quốc</t>
  </si>
  <si>
    <t>Máy X quang sách tay</t>
  </si>
  <si>
    <t>Máy X-quang răng kỹ thuật số</t>
  </si>
  <si>
    <t>Máy chụp vú</t>
  </si>
  <si>
    <t>Máy siêu âm màu</t>
  </si>
  <si>
    <t>Máy siêu âm đa chiều</t>
  </si>
  <si>
    <t>nhật</t>
  </si>
  <si>
    <t>Máy siêu âm trắng đen</t>
  </si>
  <si>
    <t>Máy siêu âm trắng đen xách tay</t>
  </si>
  <si>
    <t>Máy đo loãng xương bằng X quang</t>
  </si>
  <si>
    <t>Máy đo loãng xương bằng siêu âm</t>
  </si>
  <si>
    <t>Máy chụp mạch máu C-arm</t>
  </si>
  <si>
    <t>Transeranial 1 doppler</t>
  </si>
  <si>
    <t>Israel</t>
  </si>
  <si>
    <t>Máy đo cộng hưởng tim</t>
  </si>
  <si>
    <t>Máy quang phổ</t>
  </si>
  <si>
    <t>Bộ nội soi dạ dày, đại tráng, tá tràng ống mềm Video + Moniter</t>
  </si>
  <si>
    <t>Bộ nội soi phế quản ống mềm Video + Moniter</t>
  </si>
  <si>
    <t>Bộ nội soi tiết niệu</t>
  </si>
  <si>
    <t>Máy PT nội soi bong</t>
  </si>
  <si>
    <t>Máy PT nội soi khớp</t>
  </si>
  <si>
    <t>Máy C-arm (X-quang tăng sang)</t>
  </si>
  <si>
    <t>Mỹ</t>
  </si>
  <si>
    <t>Máy rửa phim X quang</t>
  </si>
  <si>
    <t>Máy rửa phim khô</t>
  </si>
  <si>
    <t>Equipment List</t>
  </si>
  <si>
    <t>Units</t>
  </si>
  <si>
    <t>PET-CT</t>
  </si>
  <si>
    <t>Hematology</t>
  </si>
  <si>
    <t>Biochemistry</t>
  </si>
  <si>
    <t>Immunology</t>
  </si>
  <si>
    <t>Molecular biology</t>
  </si>
  <si>
    <t>Máy nội soi dạ dày</t>
  </si>
  <si>
    <t>06 máy</t>
  </si>
  <si>
    <t>Maý nội soi đại tràng</t>
  </si>
  <si>
    <t>02 máy</t>
  </si>
  <si>
    <t>Máy nội soi trực tràng</t>
  </si>
  <si>
    <t>Ercp</t>
  </si>
  <si>
    <t>04 máy</t>
  </si>
  <si>
    <t>Máy vi tính</t>
  </si>
  <si>
    <t>03 máy</t>
  </si>
  <si>
    <t>+ máy in hình màu</t>
  </si>
  <si>
    <t>Stomach endoscopy</t>
  </si>
  <si>
    <t>ERCP</t>
  </si>
  <si>
    <t>Colonoscopy</t>
  </si>
  <si>
    <t>Rectum endoscropy</t>
  </si>
  <si>
    <t>Test/time</t>
  </si>
  <si>
    <t>per unit</t>
  </si>
  <si>
    <t>Computer &amp; Software</t>
  </si>
  <si>
    <t>Web and database servers</t>
  </si>
  <si>
    <t xml:space="preserve">Routers </t>
  </si>
  <si>
    <t>Switches for LAN</t>
  </si>
  <si>
    <t>Desktops</t>
  </si>
  <si>
    <t>Black and White printer</t>
  </si>
  <si>
    <t>Scanner (Epson Scanner 3490P)</t>
  </si>
  <si>
    <t>Projector</t>
  </si>
  <si>
    <t xml:space="preserve">Telephone Switchboard </t>
  </si>
  <si>
    <t xml:space="preserve">Telephone Handset </t>
  </si>
  <si>
    <t>Camera</t>
  </si>
  <si>
    <t>LCD Screen (for guiding clients)</t>
  </si>
  <si>
    <t>Sound system</t>
  </si>
  <si>
    <t>Cash Safety Box</t>
  </si>
  <si>
    <t>Cabinet, instruments</t>
  </si>
  <si>
    <t>Chairs (patient)</t>
  </si>
  <si>
    <t>Table (examination,1 per doctor)</t>
  </si>
  <si>
    <t>Working desks (FT staff besides doctors)</t>
  </si>
  <si>
    <t>Oven</t>
  </si>
  <si>
    <t>Airconditioner</t>
  </si>
  <si>
    <t>Monitor system</t>
  </si>
  <si>
    <t>Book shelves (client medical records)</t>
  </si>
  <si>
    <t>Scooters (sample collection &amp; delivery)</t>
  </si>
  <si>
    <t>Car (4 sits)</t>
  </si>
  <si>
    <t>Car (7 sits)</t>
  </si>
  <si>
    <t>Water bath</t>
  </si>
  <si>
    <t>Clicnic management software</t>
  </si>
  <si>
    <t>Human Resource Manager</t>
  </si>
  <si>
    <r>
      <t>List</t>
    </r>
    <r>
      <rPr>
        <sz val="10"/>
        <color rgb="FF000000"/>
        <rFont val="맑은 고딕"/>
      </rPr>
      <t xml:space="preserve"> </t>
    </r>
    <r>
      <rPr>
        <b/>
        <sz val="10"/>
        <color rgb="FF000000"/>
        <rFont val="맑은 고딕"/>
      </rPr>
      <t xml:space="preserve">of Testing Equipments </t>
    </r>
  </si>
  <si>
    <r>
      <t>Brand</t>
    </r>
    <r>
      <rPr>
        <b/>
        <sz val="10"/>
        <color rgb="FF000000"/>
        <rFont val="Calibri"/>
        <family val="2"/>
      </rPr>
      <t xml:space="preserve"> </t>
    </r>
  </si>
  <si>
    <r>
      <t>Name</t>
    </r>
    <r>
      <rPr>
        <b/>
        <sz val="10"/>
        <color rgb="FF000000"/>
        <rFont val="Calibri"/>
        <family val="2"/>
      </rPr>
      <t xml:space="preserve"> </t>
    </r>
  </si>
  <si>
    <r>
      <t>Type of tests</t>
    </r>
    <r>
      <rPr>
        <b/>
        <sz val="10"/>
        <color rgb="FF000000"/>
        <rFont val="Calibri"/>
        <family val="2"/>
      </rPr>
      <t xml:space="preserve"> </t>
    </r>
  </si>
  <si>
    <r>
      <t xml:space="preserve">Capacity </t>
    </r>
    <r>
      <rPr>
        <b/>
        <sz val="10"/>
        <color rgb="FF000000"/>
        <rFont val="Calibri"/>
        <family val="2"/>
      </rPr>
      <t xml:space="preserve"> </t>
    </r>
  </si>
  <si>
    <r>
      <t>Type</t>
    </r>
    <r>
      <rPr>
        <b/>
        <sz val="10"/>
        <color rgb="FF000000"/>
        <rFont val="Calibri"/>
        <family val="2"/>
      </rPr>
      <t xml:space="preserve"> </t>
    </r>
  </si>
  <si>
    <r>
      <t>Vol.</t>
    </r>
    <r>
      <rPr>
        <b/>
        <sz val="10"/>
        <color rgb="FF000000"/>
        <rFont val="Calibri"/>
        <family val="2"/>
      </rPr>
      <t xml:space="preserve"> </t>
    </r>
  </si>
  <si>
    <r>
      <t>Siemens</t>
    </r>
    <r>
      <rPr>
        <b/>
        <sz val="10"/>
        <color rgb="FF000000"/>
        <rFont val="Calibri"/>
        <family val="2"/>
      </rPr>
      <t xml:space="preserve"> </t>
    </r>
  </si>
  <si>
    <r>
      <t>ADVIA Workcell System</t>
    </r>
    <r>
      <rPr>
        <sz val="10"/>
        <color rgb="FF000000"/>
        <rFont val="Calibri"/>
        <family val="2"/>
      </rPr>
      <t xml:space="preserve"> </t>
    </r>
  </si>
  <si>
    <r>
      <t>Toshiba TCT300EZ</t>
    </r>
    <r>
      <rPr>
        <sz val="10"/>
        <color rgb="FF000000"/>
        <rFont val="Calibri"/>
        <family val="2"/>
      </rPr>
      <t xml:space="preserve"> </t>
    </r>
  </si>
  <si>
    <r>
      <t>CT Scan</t>
    </r>
    <r>
      <rPr>
        <sz val="10"/>
        <color rgb="FF000000"/>
        <rFont val="Calibri"/>
        <family val="2"/>
      </rPr>
      <t xml:space="preserve"> </t>
    </r>
  </si>
  <si>
    <r>
      <t>Immunology</t>
    </r>
    <r>
      <rPr>
        <sz val="10"/>
        <color rgb="FF000000"/>
        <rFont val="Calibri"/>
        <family val="2"/>
      </rPr>
      <t xml:space="preserve"> </t>
    </r>
  </si>
  <si>
    <r>
      <t>480 immunology tests/h</t>
    </r>
    <r>
      <rPr>
        <sz val="10"/>
        <color rgb="FF000000"/>
        <rFont val="Calibri"/>
        <family val="2"/>
      </rPr>
      <t xml:space="preserve"> </t>
    </r>
  </si>
  <si>
    <r>
      <t>Toshiba Xtension V2.01 Models </t>
    </r>
    <r>
      <rPr>
        <sz val="10"/>
        <color rgb="FF000000"/>
        <rFont val="Calibri"/>
        <family val="2"/>
      </rPr>
      <t xml:space="preserve"> </t>
    </r>
  </si>
  <si>
    <r>
      <t>ADVIA Centaur</t>
    </r>
    <r>
      <rPr>
        <sz val="10"/>
        <color rgb="FF000000"/>
        <rFont val="Calibri"/>
        <family val="2"/>
      </rPr>
      <t xml:space="preserve"> </t>
    </r>
  </si>
  <si>
    <r>
      <t>240 tests/h</t>
    </r>
    <r>
      <rPr>
        <sz val="10"/>
        <color rgb="FF000000"/>
        <rFont val="Calibri"/>
        <family val="2"/>
      </rPr>
      <t xml:space="preserve"> </t>
    </r>
  </si>
  <si>
    <r>
      <t>Toshiba Aquilion MSCT 16</t>
    </r>
    <r>
      <rPr>
        <sz val="10"/>
        <color rgb="FF000000"/>
        <rFont val="Calibri"/>
        <family val="2"/>
      </rPr>
      <t xml:space="preserve"> </t>
    </r>
  </si>
  <si>
    <r>
      <t>ADVIA 2120</t>
    </r>
    <r>
      <rPr>
        <sz val="10"/>
        <color rgb="FF000000"/>
        <rFont val="Calibri"/>
        <family val="2"/>
      </rPr>
      <t xml:space="preserve"> </t>
    </r>
  </si>
  <si>
    <r>
      <t>Hermatology</t>
    </r>
    <r>
      <rPr>
        <sz val="10"/>
        <color rgb="FF000000"/>
        <rFont val="Calibri"/>
        <family val="2"/>
      </rPr>
      <t xml:space="preserve"> </t>
    </r>
  </si>
  <si>
    <r>
      <t>120 tests/h</t>
    </r>
    <r>
      <rPr>
        <sz val="10"/>
        <color rgb="FF000000"/>
        <rFont val="Calibri"/>
        <family val="2"/>
      </rPr>
      <t xml:space="preserve"> </t>
    </r>
  </si>
  <si>
    <r>
      <t>Toshiba Aquilion MSCT 64</t>
    </r>
    <r>
      <rPr>
        <sz val="10"/>
        <color rgb="FF000000"/>
        <rFont val="Calibri"/>
        <family val="2"/>
      </rPr>
      <t xml:space="preserve"> </t>
    </r>
  </si>
  <si>
    <r>
      <t>ADVIA 120</t>
    </r>
    <r>
      <rPr>
        <sz val="10"/>
        <color rgb="FF000000"/>
        <rFont val="Calibri"/>
        <family val="2"/>
      </rPr>
      <t xml:space="preserve"> </t>
    </r>
  </si>
  <si>
    <r>
      <t>Lumisys</t>
    </r>
    <r>
      <rPr>
        <sz val="10"/>
        <color rgb="FF000000"/>
        <rFont val="Calibri"/>
        <family val="2"/>
      </rPr>
      <t xml:space="preserve"> </t>
    </r>
  </si>
  <si>
    <r>
      <t>X-ray</t>
    </r>
    <r>
      <rPr>
        <sz val="10"/>
        <color rgb="FF000000"/>
        <rFont val="Calibri"/>
        <family val="2"/>
      </rPr>
      <t xml:space="preserve"> </t>
    </r>
  </si>
  <si>
    <r>
      <t>ADVIA 1650</t>
    </r>
    <r>
      <rPr>
        <sz val="10"/>
        <color rgb="FF000000"/>
        <rFont val="Calibri"/>
        <family val="2"/>
      </rPr>
      <t xml:space="preserve"> </t>
    </r>
  </si>
  <si>
    <r>
      <t>Biochemical</t>
    </r>
    <r>
      <rPr>
        <sz val="10"/>
        <color rgb="FF000000"/>
        <rFont val="Calibri"/>
        <family val="2"/>
      </rPr>
      <t xml:space="preserve"> </t>
    </r>
  </si>
  <si>
    <r>
      <t>1650 tests/h</t>
    </r>
    <r>
      <rPr>
        <sz val="10"/>
        <color rgb="FF000000"/>
        <rFont val="Calibri"/>
        <family val="2"/>
      </rPr>
      <t xml:space="preserve"> </t>
    </r>
  </si>
  <si>
    <r>
      <t>Bennett USA (125 Kv, 150 mA, high frequency)</t>
    </r>
    <r>
      <rPr>
        <sz val="10"/>
        <color rgb="FF000000"/>
        <rFont val="Calibri"/>
        <family val="2"/>
      </rPr>
      <t xml:space="preserve"> </t>
    </r>
  </si>
  <si>
    <r>
      <t>System 340 Analyzer</t>
    </r>
    <r>
      <rPr>
        <sz val="10"/>
        <color rgb="FF000000"/>
        <rFont val="Calibri"/>
        <family val="2"/>
      </rPr>
      <t xml:space="preserve"> </t>
    </r>
  </si>
  <si>
    <r>
      <t>DNA, RNA</t>
    </r>
    <r>
      <rPr>
        <sz val="10"/>
        <color rgb="FF000000"/>
        <rFont val="Calibri"/>
        <family val="2"/>
      </rPr>
      <t xml:space="preserve"> </t>
    </r>
  </si>
  <si>
    <r>
      <t>168 samples/tests</t>
    </r>
    <r>
      <rPr>
        <sz val="10"/>
        <color rgb="FF000000"/>
        <rFont val="Calibri"/>
        <family val="2"/>
      </rPr>
      <t xml:space="preserve"> </t>
    </r>
  </si>
  <si>
    <r>
      <t>Daeyoung Korea (100Kv, 100 mA)</t>
    </r>
    <r>
      <rPr>
        <sz val="10"/>
        <color rgb="FF000000"/>
        <rFont val="Calibri"/>
        <family val="2"/>
      </rPr>
      <t xml:space="preserve"> </t>
    </r>
  </si>
  <si>
    <r>
      <t>Trugene</t>
    </r>
    <r>
      <rPr>
        <sz val="10"/>
        <color rgb="FF000000"/>
        <rFont val="Calibri"/>
        <family val="2"/>
      </rPr>
      <t xml:space="preserve"> </t>
    </r>
  </si>
  <si>
    <r>
      <t>-</t>
    </r>
    <r>
      <rPr>
        <sz val="10"/>
        <color rgb="FF000000"/>
        <rFont val="Calibri"/>
        <family val="2"/>
      </rPr>
      <t xml:space="preserve"> </t>
    </r>
  </si>
  <si>
    <r>
      <t>Toshiba Japan (100Kv, 100 mA)</t>
    </r>
    <r>
      <rPr>
        <sz val="10"/>
        <color rgb="FF000000"/>
        <rFont val="Calibri"/>
        <family val="2"/>
      </rPr>
      <t xml:space="preserve"> </t>
    </r>
  </si>
  <si>
    <r>
      <t>168 sample/tests</t>
    </r>
    <r>
      <rPr>
        <sz val="10"/>
        <color rgb="FF000000"/>
        <rFont val="Calibri"/>
        <family val="2"/>
      </rPr>
      <t xml:space="preserve"> </t>
    </r>
  </si>
  <si>
    <r>
      <t>Hitachi Japan (124 Kv, 100 mA)</t>
    </r>
    <r>
      <rPr>
        <sz val="10"/>
        <color rgb="FF000000"/>
        <rFont val="Calibri"/>
        <family val="2"/>
      </rPr>
      <t xml:space="preserve"> </t>
    </r>
  </si>
  <si>
    <r>
      <t>Abbott</t>
    </r>
    <r>
      <rPr>
        <b/>
        <sz val="10"/>
        <color rgb="FF000000"/>
        <rFont val="Calibri"/>
        <family val="2"/>
      </rPr>
      <t xml:space="preserve"> </t>
    </r>
  </si>
  <si>
    <r>
      <t>ARCHITECT Ci8200 (3 Systems)</t>
    </r>
    <r>
      <rPr>
        <sz val="10"/>
        <color rgb="FF000000"/>
        <rFont val="Calibri"/>
        <family val="2"/>
      </rPr>
      <t xml:space="preserve"> </t>
    </r>
  </si>
  <si>
    <r>
      <t>Hitachi Japan (125 Kv, 300 mAs)</t>
    </r>
    <r>
      <rPr>
        <sz val="10"/>
        <color rgb="FF000000"/>
        <rFont val="Calibri"/>
        <family val="2"/>
      </rPr>
      <t xml:space="preserve"> </t>
    </r>
  </si>
  <si>
    <r>
      <t>440 immunology tests/h</t>
    </r>
    <r>
      <rPr>
        <sz val="10"/>
        <color rgb="FF000000"/>
        <rFont val="Calibri"/>
        <family val="2"/>
      </rPr>
      <t xml:space="preserve"> </t>
    </r>
  </si>
  <si>
    <r>
      <t>Acoma Japan (100 Kv, 30 mAs, high frequency)</t>
    </r>
    <r>
      <rPr>
        <sz val="10"/>
        <color rgb="FF000000"/>
        <rFont val="Calibri"/>
        <family val="2"/>
      </rPr>
      <t xml:space="preserve"> </t>
    </r>
  </si>
  <si>
    <r>
      <t>TECAN</t>
    </r>
    <r>
      <rPr>
        <sz val="10"/>
        <color rgb="FF000000"/>
        <rFont val="Calibri"/>
        <family val="2"/>
      </rPr>
      <t xml:space="preserve"> </t>
    </r>
  </si>
  <si>
    <r>
      <t>384 samples/tests</t>
    </r>
    <r>
      <rPr>
        <sz val="10"/>
        <color rgb="FF000000"/>
        <rFont val="Calibri"/>
        <family val="2"/>
      </rPr>
      <t xml:space="preserve"> </t>
    </r>
  </si>
  <si>
    <r>
      <t xml:space="preserve">Lorad </t>
    </r>
    <r>
      <rPr>
        <sz val="10"/>
        <color rgb="FF000000"/>
        <rFont val="Calibri"/>
        <family val="2"/>
      </rPr>
      <t xml:space="preserve"> </t>
    </r>
  </si>
  <si>
    <r>
      <t>CELL-DYN 3700</t>
    </r>
    <r>
      <rPr>
        <sz val="10"/>
        <color rgb="FF000000"/>
        <rFont val="Calibri"/>
        <family val="2"/>
      </rPr>
      <t xml:space="preserve"> </t>
    </r>
  </si>
  <si>
    <r>
      <t>90 tests/h</t>
    </r>
    <r>
      <rPr>
        <sz val="10"/>
        <color rgb="FF000000"/>
        <rFont val="Calibri"/>
        <family val="2"/>
      </rPr>
      <t xml:space="preserve"> </t>
    </r>
  </si>
  <si>
    <r>
      <t>Acmex (tooth)</t>
    </r>
    <r>
      <rPr>
        <sz val="10"/>
        <color rgb="FF000000"/>
        <rFont val="Calibri"/>
        <family val="2"/>
      </rPr>
      <t xml:space="preserve"> </t>
    </r>
  </si>
  <si>
    <r>
      <t>ARCHITECT i2000</t>
    </r>
    <r>
      <rPr>
        <sz val="10"/>
        <color rgb="FF000000"/>
        <rFont val="Calibri"/>
        <family val="2"/>
      </rPr>
      <t xml:space="preserve"> </t>
    </r>
  </si>
  <si>
    <r>
      <t>200 tests/h</t>
    </r>
    <r>
      <rPr>
        <sz val="10"/>
        <color rgb="FF000000"/>
        <rFont val="Calibri"/>
        <family val="2"/>
      </rPr>
      <t xml:space="preserve"> </t>
    </r>
  </si>
  <si>
    <r>
      <t>OEC - 9600 - USA (II: 12 Inch Mono Plan)</t>
    </r>
    <r>
      <rPr>
        <sz val="10"/>
        <color rgb="FF000000"/>
        <rFont val="Calibri"/>
        <family val="2"/>
      </rPr>
      <t xml:space="preserve"> </t>
    </r>
  </si>
  <si>
    <r>
      <t>AXSYM</t>
    </r>
    <r>
      <rPr>
        <sz val="10"/>
        <color rgb="FF000000"/>
        <rFont val="Calibri"/>
        <family val="2"/>
      </rPr>
      <t xml:space="preserve"> </t>
    </r>
  </si>
  <si>
    <r>
      <t>Toshiba SSH 140 HG.</t>
    </r>
    <r>
      <rPr>
        <sz val="10"/>
        <color rgb="FF000000"/>
        <rFont val="Calibri"/>
        <family val="2"/>
      </rPr>
      <t xml:space="preserve"> </t>
    </r>
  </si>
  <si>
    <r>
      <t>Ultrasound</t>
    </r>
    <r>
      <rPr>
        <sz val="10"/>
        <color rgb="FF000000"/>
        <rFont val="Calibri"/>
        <family val="2"/>
      </rPr>
      <t xml:space="preserve"> </t>
    </r>
  </si>
  <si>
    <r>
      <t>Roche</t>
    </r>
    <r>
      <rPr>
        <b/>
        <sz val="10"/>
        <color rgb="FF000000"/>
        <rFont val="Calibri"/>
        <family val="2"/>
      </rPr>
      <t xml:space="preserve"> </t>
    </r>
  </si>
  <si>
    <r>
      <t>MODULAR (3 Module E170)</t>
    </r>
    <r>
      <rPr>
        <sz val="10"/>
        <color rgb="FF000000"/>
        <rFont val="Calibri"/>
        <family val="2"/>
      </rPr>
      <t xml:space="preserve"> </t>
    </r>
  </si>
  <si>
    <r>
      <t>510 tests/h</t>
    </r>
    <r>
      <rPr>
        <sz val="10"/>
        <color rgb="FF000000"/>
        <rFont val="Calibri"/>
        <family val="2"/>
      </rPr>
      <t xml:space="preserve"> </t>
    </r>
  </si>
  <si>
    <r>
      <t>Toshiba Eccocee</t>
    </r>
    <r>
      <rPr>
        <sz val="10"/>
        <color rgb="FF000000"/>
        <rFont val="Calibri"/>
        <family val="2"/>
      </rPr>
      <t xml:space="preserve"> </t>
    </r>
  </si>
  <si>
    <r>
      <t>COBAS 6000</t>
    </r>
    <r>
      <rPr>
        <sz val="10"/>
        <color rgb="FF000000"/>
        <rFont val="Calibri"/>
        <family val="2"/>
      </rPr>
      <t xml:space="preserve"> </t>
    </r>
  </si>
  <si>
    <r>
      <t>Hitachi EUB - 555</t>
    </r>
    <r>
      <rPr>
        <sz val="10"/>
        <color rgb="FF000000"/>
        <rFont val="Calibri"/>
        <family val="2"/>
      </rPr>
      <t xml:space="preserve"> </t>
    </r>
  </si>
  <si>
    <r>
      <t>170 immunology tests/h</t>
    </r>
    <r>
      <rPr>
        <sz val="10"/>
        <color rgb="FF000000"/>
        <rFont val="Calibri"/>
        <family val="2"/>
      </rPr>
      <t xml:space="preserve"> </t>
    </r>
  </si>
  <si>
    <r>
      <t>Sonosite portable</t>
    </r>
    <r>
      <rPr>
        <sz val="10"/>
        <color rgb="FF000000"/>
        <rFont val="Calibri"/>
        <family val="2"/>
      </rPr>
      <t xml:space="preserve"> </t>
    </r>
  </si>
  <si>
    <r>
      <t>Cobas MagNA Pure LC</t>
    </r>
    <r>
      <rPr>
        <sz val="10"/>
        <color rgb="FF000000"/>
        <rFont val="Calibri"/>
        <family val="2"/>
      </rPr>
      <t xml:space="preserve"> </t>
    </r>
  </si>
  <si>
    <r>
      <t>32 samples/test (1-2h)</t>
    </r>
    <r>
      <rPr>
        <sz val="10"/>
        <color rgb="FF000000"/>
        <rFont val="Calibri"/>
        <family val="2"/>
      </rPr>
      <t xml:space="preserve"> </t>
    </r>
  </si>
  <si>
    <r>
      <t>Combison C3D</t>
    </r>
    <r>
      <rPr>
        <sz val="10"/>
        <color rgb="FF000000"/>
        <rFont val="Calibri"/>
        <family val="2"/>
      </rPr>
      <t xml:space="preserve"> </t>
    </r>
  </si>
  <si>
    <r>
      <t>Biorad</t>
    </r>
    <r>
      <rPr>
        <b/>
        <sz val="10"/>
        <color rgb="FF000000"/>
        <rFont val="Calibri"/>
        <family val="2"/>
      </rPr>
      <t xml:space="preserve"> </t>
    </r>
  </si>
  <si>
    <r>
      <t>EVOLIS</t>
    </r>
    <r>
      <rPr>
        <sz val="10"/>
        <color rgb="FF000000"/>
        <rFont val="Calibri"/>
        <family val="2"/>
      </rPr>
      <t xml:space="preserve"> </t>
    </r>
  </si>
  <si>
    <r>
      <t>Knontron 440 CE CD English</t>
    </r>
    <r>
      <rPr>
        <sz val="10"/>
        <color rgb="FF000000"/>
        <rFont val="Calibri"/>
        <family val="2"/>
      </rPr>
      <t xml:space="preserve"> </t>
    </r>
  </si>
  <si>
    <r>
      <t>Scan Gel</t>
    </r>
    <r>
      <rPr>
        <sz val="10"/>
        <color rgb="FF000000"/>
        <rFont val="Calibri"/>
        <family val="2"/>
      </rPr>
      <t xml:space="preserve"> </t>
    </r>
  </si>
  <si>
    <r>
      <t>140 tests/day</t>
    </r>
    <r>
      <rPr>
        <sz val="10"/>
        <color rgb="FF000000"/>
        <rFont val="Calibri"/>
        <family val="2"/>
      </rPr>
      <t xml:space="preserve"> </t>
    </r>
  </si>
  <si>
    <r>
      <t>Medison : Sonorex / Sonoace 6000</t>
    </r>
    <r>
      <rPr>
        <sz val="10"/>
        <color rgb="FF000000"/>
        <rFont val="Calibri"/>
        <family val="2"/>
      </rPr>
      <t xml:space="preserve"> </t>
    </r>
  </si>
  <si>
    <r>
      <t>Horiba</t>
    </r>
    <r>
      <rPr>
        <b/>
        <sz val="10"/>
        <color rgb="FF000000"/>
        <rFont val="Calibri"/>
        <family val="2"/>
      </rPr>
      <t xml:space="preserve"> </t>
    </r>
  </si>
  <si>
    <r>
      <t>HORIBA ABX</t>
    </r>
    <r>
      <rPr>
        <sz val="10"/>
        <color rgb="FF000000"/>
        <rFont val="Calibri"/>
        <family val="2"/>
      </rPr>
      <t xml:space="preserve"> </t>
    </r>
  </si>
  <si>
    <r>
      <t>Sonoace 3200</t>
    </r>
    <r>
      <rPr>
        <sz val="10"/>
        <color rgb="FF000000"/>
        <rFont val="Calibri"/>
        <family val="2"/>
      </rPr>
      <t xml:space="preserve"> </t>
    </r>
  </si>
  <si>
    <r>
      <t>Stago</t>
    </r>
    <r>
      <rPr>
        <b/>
        <sz val="10"/>
        <color rgb="FF000000"/>
        <rFont val="Calibri"/>
        <family val="2"/>
      </rPr>
      <t xml:space="preserve"> </t>
    </r>
  </si>
  <si>
    <r>
      <t>ERINLINE AR</t>
    </r>
    <r>
      <rPr>
        <sz val="10"/>
        <color rgb="FF000000"/>
        <rFont val="Calibri"/>
        <family val="2"/>
      </rPr>
      <t xml:space="preserve"> </t>
    </r>
  </si>
  <si>
    <r>
      <t xml:space="preserve">48 tests </t>
    </r>
    <r>
      <rPr>
        <sz val="10"/>
        <color rgb="FF000000"/>
        <rFont val="Calibri"/>
        <family val="2"/>
      </rPr>
      <t xml:space="preserve"> </t>
    </r>
  </si>
  <si>
    <r>
      <t>Aloka: SSD 500, SSD1100, SSD1000</t>
    </r>
    <r>
      <rPr>
        <sz val="10"/>
        <color rgb="FF000000"/>
        <rFont val="Calibri"/>
        <family val="2"/>
      </rPr>
      <t xml:space="preserve"> </t>
    </r>
  </si>
  <si>
    <r>
      <t>ST_ART</t>
    </r>
    <r>
      <rPr>
        <sz val="10"/>
        <color rgb="FF000000"/>
        <rFont val="Calibri"/>
        <family val="2"/>
      </rPr>
      <t xml:space="preserve"> </t>
    </r>
  </si>
  <si>
    <r>
      <t>320 tests/h</t>
    </r>
    <r>
      <rPr>
        <sz val="10"/>
        <color rgb="FF000000"/>
        <rFont val="Calibri"/>
        <family val="2"/>
      </rPr>
      <t xml:space="preserve"> </t>
    </r>
  </si>
  <si>
    <r>
      <t>Toshiba: Capasee</t>
    </r>
    <r>
      <rPr>
        <sz val="10"/>
        <color rgb="FF000000"/>
        <rFont val="Calibri"/>
        <family val="2"/>
      </rPr>
      <t xml:space="preserve"> </t>
    </r>
  </si>
  <si>
    <r>
      <t>ACL 7000</t>
    </r>
    <r>
      <rPr>
        <sz val="10"/>
        <color rgb="FF000000"/>
        <rFont val="Calibri"/>
        <family val="2"/>
      </rPr>
      <t xml:space="preserve"> </t>
    </r>
  </si>
  <si>
    <r>
      <t>30 tests/h</t>
    </r>
    <r>
      <rPr>
        <sz val="10"/>
        <color rgb="FF000000"/>
        <rFont val="Calibri"/>
        <family val="2"/>
      </rPr>
      <t xml:space="preserve"> </t>
    </r>
  </si>
  <si>
    <r>
      <t>Kontron sigma 1AC</t>
    </r>
    <r>
      <rPr>
        <sz val="10"/>
        <color rgb="FF000000"/>
        <rFont val="Calibri"/>
        <family val="2"/>
      </rPr>
      <t xml:space="preserve"> </t>
    </r>
  </si>
  <si>
    <r>
      <t>Laboratory</t>
    </r>
    <r>
      <rPr>
        <b/>
        <sz val="10"/>
        <color rgb="FF000000"/>
        <rFont val="Calibri"/>
        <family val="2"/>
      </rPr>
      <t xml:space="preserve"> </t>
    </r>
  </si>
  <si>
    <r>
      <t>Siemens Avanto - T-Class</t>
    </r>
    <r>
      <rPr>
        <sz val="10"/>
        <color rgb="FF000000"/>
        <rFont val="Calibri"/>
        <family val="2"/>
      </rPr>
      <t xml:space="preserve"> </t>
    </r>
  </si>
  <si>
    <r>
      <t>MRI</t>
    </r>
    <r>
      <rPr>
        <sz val="10"/>
        <color rgb="FF000000"/>
        <rFont val="Calibri"/>
        <family val="2"/>
      </rPr>
      <t xml:space="preserve"> </t>
    </r>
  </si>
  <si>
    <r>
      <t>CA.500</t>
    </r>
    <r>
      <rPr>
        <sz val="10"/>
        <color rgb="FF000000"/>
        <rFont val="Calibri"/>
        <family val="2"/>
      </rPr>
      <t xml:space="preserve"> </t>
    </r>
  </si>
  <si>
    <r>
      <t>Toshiba Access LPT6.0 (open)</t>
    </r>
    <r>
      <rPr>
        <sz val="10"/>
        <color rgb="FF000000"/>
        <rFont val="Calibri"/>
        <family val="2"/>
      </rPr>
      <t xml:space="preserve"> </t>
    </r>
  </si>
  <si>
    <r>
      <t>1,5T GE LX</t>
    </r>
    <r>
      <rPr>
        <sz val="10"/>
        <color rgb="FF000000"/>
        <rFont val="Arial"/>
        <family val="2"/>
      </rPr>
      <t xml:space="preserve"> </t>
    </r>
  </si>
  <si>
    <r>
      <t>1,5T CVI GE</t>
    </r>
    <r>
      <rPr>
        <sz val="10"/>
        <color rgb="FF000000"/>
        <rFont val="Arial"/>
        <family val="2"/>
      </rPr>
      <t xml:space="preserve"> </t>
    </r>
  </si>
  <si>
    <r>
      <t>PET-CT</t>
    </r>
    <r>
      <rPr>
        <sz val="10"/>
        <color rgb="FF000000"/>
        <rFont val="Arial"/>
        <family val="2"/>
      </rPr>
      <t xml:space="preserve"> </t>
    </r>
  </si>
  <si>
    <t>Department</t>
  </si>
  <si>
    <t>Hematological</t>
  </si>
  <si>
    <t>Spareparts</t>
  </si>
  <si>
    <t>Laboratory Equipment</t>
  </si>
  <si>
    <t>Diagnostic Imaging Equipment</t>
  </si>
  <si>
    <t>EQUIPMENT SUMMARY BY DEPARTMENT</t>
  </si>
  <si>
    <t>No</t>
  </si>
  <si>
    <t>Equipment Name</t>
  </si>
  <si>
    <t>Volume</t>
  </si>
  <si>
    <t>Unit price</t>
  </si>
  <si>
    <t>Total cost</t>
  </si>
  <si>
    <t>Total main items</t>
  </si>
  <si>
    <t>Total sub-items</t>
  </si>
  <si>
    <t>Laboratory</t>
  </si>
  <si>
    <t>/</t>
  </si>
  <si>
    <t>x</t>
  </si>
  <si>
    <t>Computers and softwares</t>
  </si>
  <si>
    <t>YEAR 1 SUMMARY</t>
  </si>
  <si>
    <t>FURNITURES</t>
  </si>
  <si>
    <t>ANNUAL GROWTH RATE</t>
  </si>
  <si>
    <t>DEPRECIATION RATE</t>
  </si>
  <si>
    <t>Beginning of Year</t>
  </si>
  <si>
    <t>Addition</t>
  </si>
  <si>
    <t>Disposal</t>
  </si>
  <si>
    <t>End of Year</t>
  </si>
  <si>
    <t>CHECK-UP</t>
  </si>
  <si>
    <t>LABORATORY</t>
  </si>
  <si>
    <t>IMAGING DIAGNOSIS</t>
  </si>
  <si>
    <t>COMPUTERS AND SOFTWARES</t>
  </si>
  <si>
    <t>VEHICLES</t>
  </si>
  <si>
    <t>Yrs of asset</t>
  </si>
  <si>
    <t>SUMMARY OF FIXED ASSETS</t>
  </si>
  <si>
    <t>FIXED ASSET ADDITIONS</t>
  </si>
  <si>
    <t>Additions</t>
  </si>
  <si>
    <t>Gross fixed assets</t>
  </si>
  <si>
    <t>Depreciation charge</t>
  </si>
  <si>
    <t>Accumulated depreciation</t>
  </si>
  <si>
    <t>Less: Business income tax</t>
  </si>
  <si>
    <t>IX</t>
  </si>
  <si>
    <t>NET PROFIT</t>
  </si>
  <si>
    <t>TAX COMPUTATION</t>
  </si>
  <si>
    <t>TAXABLE INCOME</t>
  </si>
  <si>
    <t>Tax Expenses</t>
  </si>
  <si>
    <t>Salary and staff benefits</t>
  </si>
  <si>
    <t>APPENDIX 4: YEAR 1 CASHFLOW FORECAST</t>
  </si>
  <si>
    <t>YEAR 1 CASHFLOW FORECAST</t>
  </si>
  <si>
    <t>CAPITAL EXPENDITURES</t>
  </si>
  <si>
    <t>Total Capital Expenditures</t>
  </si>
  <si>
    <t>OPERATING</t>
  </si>
  <si>
    <t>Total Operating</t>
  </si>
  <si>
    <t>SALES (30 days lag)</t>
  </si>
  <si>
    <t>CASH TO BE INJECTED</t>
  </si>
  <si>
    <t>NON CURRENT ASSETS</t>
  </si>
  <si>
    <t>Trade Debtors</t>
  </si>
  <si>
    <t>Prepayment and others</t>
  </si>
  <si>
    <t>CURRENT ASSETS</t>
  </si>
  <si>
    <t>TOTAL ASSETS</t>
  </si>
  <si>
    <t>Trade Creditors and Accruals</t>
  </si>
  <si>
    <t>Personal Tax Social Insurance Payable</t>
  </si>
  <si>
    <t>CURRENT LIABILITIES</t>
  </si>
  <si>
    <t>LONG TERM LIABILITIES</t>
  </si>
  <si>
    <t>Common Shares</t>
  </si>
  <si>
    <t>Retained Earnings</t>
  </si>
  <si>
    <t>SHAREHOLDERS FUND</t>
  </si>
  <si>
    <t>TOTAL LIABILITIES AND SHAREHOLDERS FUND</t>
  </si>
  <si>
    <t>BALANCE SHEETS</t>
  </si>
  <si>
    <t>FINANCIAL MANAGEMENT AND OTHER ASSUMPTIONS</t>
  </si>
  <si>
    <t>Debtors Days</t>
  </si>
  <si>
    <t>Days</t>
  </si>
  <si>
    <t>Creditors Days</t>
  </si>
  <si>
    <t xml:space="preserve">Prepayment </t>
  </si>
  <si>
    <t>of Annual Operarating Expenses</t>
  </si>
  <si>
    <t>Cash reserve</t>
  </si>
  <si>
    <t>Months of staff costs and operating expenses</t>
  </si>
  <si>
    <t>Target current ratio</t>
  </si>
  <si>
    <t>Current assets/ current liabilities</t>
  </si>
  <si>
    <t>Per Annum</t>
  </si>
  <si>
    <t>Leverage</t>
  </si>
  <si>
    <t>Debt / Equity</t>
  </si>
  <si>
    <t>Effective Tax Rate</t>
  </si>
  <si>
    <t>Target Launch</t>
  </si>
  <si>
    <t>Laboratory equipment</t>
  </si>
  <si>
    <t>Checked</t>
  </si>
  <si>
    <t>SALES (30 DAYS COLLECTION)</t>
  </si>
  <si>
    <t>CASH RESERVES FOR TWO MONTH EXPENSES</t>
  </si>
  <si>
    <t>FINANCING</t>
  </si>
  <si>
    <t>TOTAL OPERATING EXPENSES</t>
  </si>
  <si>
    <t>PAYROLL</t>
  </si>
  <si>
    <t>Owner's equity</t>
  </si>
  <si>
    <t>Borrowings</t>
  </si>
  <si>
    <t>equipment finance leased</t>
  </si>
  <si>
    <t>LONG TERM LOAN</t>
  </si>
  <si>
    <t>Opening balance</t>
  </si>
  <si>
    <t>New borrowings</t>
  </si>
  <si>
    <t>Repayments</t>
  </si>
  <si>
    <t>Closing balance</t>
  </si>
  <si>
    <t>Average interest rate</t>
  </si>
  <si>
    <t xml:space="preserve">Interest expenses </t>
  </si>
  <si>
    <t>Initial Amount:</t>
  </si>
  <si>
    <t>Period in years</t>
  </si>
  <si>
    <t>Annual interest</t>
  </si>
  <si>
    <t xml:space="preserve">PMT </t>
  </si>
  <si>
    <t>Long term Bank Loan</t>
  </si>
  <si>
    <t>Inventory</t>
  </si>
  <si>
    <t>APPENDIX 7: PRE-OPERATIONAL COSTS</t>
  </si>
  <si>
    <t>INVESTMENT SIZE</t>
  </si>
  <si>
    <t>LIBOR + 2%</t>
  </si>
  <si>
    <t>Pre-operational period:</t>
  </si>
  <si>
    <t>Full Operational Period</t>
  </si>
  <si>
    <t>Premium Adj.</t>
  </si>
  <si>
    <t>Type of cost</t>
  </si>
  <si>
    <t>Total Year 1</t>
  </si>
  <si>
    <t>Monthly Expenditure</t>
  </si>
  <si>
    <t>Trademark registration</t>
  </si>
  <si>
    <t>Market Survey</t>
  </si>
  <si>
    <t>Relationship with Management</t>
  </si>
  <si>
    <t>Logo Design</t>
  </si>
  <si>
    <t>Trip to Hanoi</t>
  </si>
  <si>
    <t>Trip to Vietnam</t>
  </si>
  <si>
    <t>Mobile Phone Calls</t>
  </si>
  <si>
    <t>International Calls</t>
  </si>
  <si>
    <t>Trips to Korea</t>
  </si>
  <si>
    <t>Taxi trips</t>
  </si>
  <si>
    <t>Headhunting service</t>
  </si>
  <si>
    <t>PR Expenses</t>
  </si>
  <si>
    <t>Hours</t>
  </si>
  <si>
    <t>Name</t>
  </si>
  <si>
    <t>Domain</t>
  </si>
  <si>
    <t>Logo</t>
  </si>
  <si>
    <t>Trip for two</t>
  </si>
  <si>
    <t>Airticket</t>
  </si>
  <si>
    <t>Lodging in Vietnam</t>
  </si>
  <si>
    <t>Users</t>
  </si>
  <si>
    <t>Doctors/Staff</t>
  </si>
  <si>
    <t>Pre-operational Cost Drivers</t>
  </si>
  <si>
    <t>Monthly Count</t>
  </si>
  <si>
    <t>Investment license acquisition</t>
  </si>
  <si>
    <t>License</t>
  </si>
  <si>
    <t>Operating license acquisition</t>
  </si>
  <si>
    <t>Day for two</t>
  </si>
  <si>
    <t>Domain purchases (.com)</t>
  </si>
  <si>
    <t>After having facilities with a list of doctors and equipments</t>
  </si>
  <si>
    <t>Legal assistance fee</t>
  </si>
  <si>
    <t>Regulation reference: http://www.moh.gov.vn/wps/portal/boyte/thutuc/chitiet?presentationtemplate=pt_thutuc&amp;WCM_GLOBAL_CONTEXT=3b9769004664a8dd98a99cd01b698eba</t>
  </si>
  <si>
    <t>Waste treatment</t>
  </si>
  <si>
    <t>Waste Treatment</t>
  </si>
  <si>
    <t>Bóp bóng hồi sức</t>
  </si>
  <si>
    <t>Bóng bóp hồi sức trẻ em</t>
  </si>
  <si>
    <t xml:space="preserve">Máy hút đờm dãi </t>
  </si>
  <si>
    <t>Ống hút đờm dãi</t>
  </si>
  <si>
    <t>Cannun mở khí quản các cỡ (6số)</t>
  </si>
  <si>
    <t xml:space="preserve">Bộ dụng cụ mở khí quản </t>
  </si>
  <si>
    <t>Bộ</t>
  </si>
  <si>
    <t>Đèn soi thanh quản người lớn</t>
  </si>
  <si>
    <t>Đèn soi thanh quản trẻ em</t>
  </si>
  <si>
    <t>Kim chọc màng phổi</t>
  </si>
  <si>
    <t>Bộ dẫn lưu màng phổi</t>
  </si>
  <si>
    <t>Máy tạo ô xy cá nhân</t>
  </si>
  <si>
    <t>Hồi sức tuần hoàn</t>
  </si>
  <si>
    <t>Máy điên tim cá nhân</t>
  </si>
  <si>
    <t>May phá rung tim</t>
  </si>
  <si>
    <t>Cathete tĩnh mạch</t>
  </si>
  <si>
    <t>Hồi sức tiết niệu</t>
  </si>
  <si>
    <t>Ống thông Nelaton các loại</t>
  </si>
  <si>
    <t>Hồi sức tiêu hoá</t>
  </si>
  <si>
    <t>Ống thông dẫn lưu màng bụng</t>
  </si>
  <si>
    <t xml:space="preserve">Ống thông dạ dày các cỡ </t>
  </si>
  <si>
    <t>Ống rửa dạ dày các cỡ số 2</t>
  </si>
  <si>
    <t>Kim chọc dò màng bụng</t>
  </si>
  <si>
    <t>Các trang thiết bị khác</t>
  </si>
  <si>
    <t xml:space="preserve">Tủ đầu giường </t>
  </si>
  <si>
    <t>Đệm chống loét</t>
  </si>
  <si>
    <t>Cáng khiêng</t>
  </si>
  <si>
    <t>Xe đẩy</t>
  </si>
  <si>
    <t>Bàn đẩy  phát thuốc</t>
  </si>
  <si>
    <t>Máy đo tim thai (Dopple)</t>
  </si>
  <si>
    <t>Ống nghe tim thai</t>
  </si>
  <si>
    <t>Kim chọc dò màng não</t>
  </si>
  <si>
    <t>Đèn soi đáy mắt</t>
  </si>
  <si>
    <t>Bộ dụng cụ tiễu phẫu</t>
  </si>
  <si>
    <t>Phòng băng và tiểu phẫu</t>
  </si>
  <si>
    <t>Bộ dụng cụ cố định chi</t>
  </si>
  <si>
    <t>Cáng cố định</t>
  </si>
  <si>
    <t>Xe lăn tay</t>
  </si>
  <si>
    <t>Bộ dụng tiểu phẫu</t>
  </si>
  <si>
    <t>Đơn vi điều trị tích cực ngoại sản</t>
  </si>
  <si>
    <t>Bóp bóng người lớn</t>
  </si>
  <si>
    <t xml:space="preserve">Bóp bóng trẻ em </t>
  </si>
  <si>
    <t>Cannun mở khí quản</t>
  </si>
  <si>
    <t>Bộ dụng cụ mở khí quản</t>
  </si>
  <si>
    <t>Máy thở</t>
  </si>
  <si>
    <t>Đèn soi thanh quản</t>
  </si>
  <si>
    <t>Kim chọc dò màng phổi</t>
  </si>
  <si>
    <t>Máy tạo ô xy di động</t>
  </si>
  <si>
    <t>Monitor theo dõi bệnh nhân</t>
  </si>
  <si>
    <t>Monitor trung tâm</t>
  </si>
  <si>
    <t>Bơm truyền dịch</t>
  </si>
  <si>
    <t>Bơm tiêm điện</t>
  </si>
  <si>
    <t>Bóp bóng hô hấp người lớn</t>
  </si>
  <si>
    <t>Bàn khám bệnh</t>
  </si>
  <si>
    <t>Máy khí dung</t>
  </si>
  <si>
    <t>Lồng ấp trẻ sơ sinh</t>
  </si>
  <si>
    <t>Bộ làm ẩm ô xy</t>
  </si>
  <si>
    <t>Đồng hồ ô xy đo áp lực bình ô xy</t>
  </si>
  <si>
    <t>Máy thu hình 21 inch</t>
  </si>
  <si>
    <t>Máy vi tính+máy in</t>
  </si>
  <si>
    <t>Máy điện tim các loại</t>
  </si>
  <si>
    <t>Máy lọc thận nhân tạo</t>
  </si>
  <si>
    <t>2 – 6</t>
  </si>
  <si>
    <t>Máy tán sỏi ngoài cơ thể</t>
  </si>
  <si>
    <t>Thiết bị tán sỏi qua ống nội soi</t>
  </si>
  <si>
    <t>Thiết bị tán sỏi mật thuỷ lực</t>
  </si>
  <si>
    <t>Máy  hút điện chạy liên tục áp lực thấp</t>
  </si>
  <si>
    <t>Hệ thống báo gọi y tá (phụ thuộc vào vị trí các phòng bệnh có thể 2 hoặc 3 hệ thống)</t>
  </si>
  <si>
    <t>Ống nghe bệnh trẻ em</t>
  </si>
  <si>
    <t>Bóp bóng trẻ em</t>
  </si>
  <si>
    <t>Đè lưỡi các loại</t>
  </si>
  <si>
    <t>Đèn clar</t>
  </si>
  <si>
    <t>Bộ thông niệu đạo nam và nữ</t>
  </si>
  <si>
    <t>Van chỉnh áp cho bình ô xy</t>
  </si>
  <si>
    <t>Hộp gấp bông gạc các loại</t>
  </si>
  <si>
    <t>Hộp hấp dụng cụ các loại</t>
  </si>
  <si>
    <t>Khay đựng dụng cụ các loại</t>
  </si>
  <si>
    <t>Khay quả đậu các loại</t>
  </si>
  <si>
    <t>Nồi luộc bơm kim tiêm</t>
  </si>
  <si>
    <t>Túi chườm nóng lạnh (bằng cao su)</t>
  </si>
  <si>
    <t>Găng tay y tế cỡ 6,5 và 7</t>
  </si>
  <si>
    <t>Bô đái cho nam giới</t>
  </si>
  <si>
    <t>Xe đẩy đồ vải</t>
  </si>
  <si>
    <t>Xe đẩy cấp phát thuốc</t>
  </si>
  <si>
    <t xml:space="preserve">Bơm tiêm thuỷ tinh 20 ml + kim </t>
  </si>
  <si>
    <t xml:space="preserve">Bảng </t>
  </si>
  <si>
    <t>Cân bàn (trọng lượng 120 kg)</t>
  </si>
  <si>
    <t>Nhiệt kế y học 420C</t>
  </si>
  <si>
    <t>Tủ sấy điện 3000C</t>
  </si>
  <si>
    <t xml:space="preserve">Emergency </t>
  </si>
  <si>
    <t>Internal Medicine (General)</t>
  </si>
  <si>
    <t>Surgery</t>
  </si>
  <si>
    <t>General</t>
  </si>
  <si>
    <t>STT</t>
  </si>
  <si>
    <t>Tên dụng cụ</t>
  </si>
  <si>
    <t>Đơn vị</t>
  </si>
  <si>
    <t>Số lượng</t>
  </si>
  <si>
    <r>
      <t>1.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 </t>
    </r>
  </si>
  <si>
    <r>
      <t>2.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 </t>
    </r>
  </si>
  <si>
    <t>Ống nghe bệnh 2 tai</t>
  </si>
  <si>
    <t>-</t>
  </si>
  <si>
    <r>
      <t>3.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 </t>
    </r>
  </si>
  <si>
    <t>Huyết áp kế</t>
  </si>
  <si>
    <r>
      <t>4.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 </t>
    </r>
  </si>
  <si>
    <t>Bảng thị lực</t>
  </si>
  <si>
    <r>
      <t>5.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 </t>
    </r>
  </si>
  <si>
    <t>Búa tìm phản xạ</t>
  </si>
  <si>
    <r>
      <t>6.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 </t>
    </r>
  </si>
  <si>
    <t>Băng ga rô cầm máu</t>
  </si>
  <si>
    <r>
      <t>7.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 </t>
    </r>
  </si>
  <si>
    <t>Bơm tiêm dùng một lần 1 ml</t>
  </si>
  <si>
    <r>
      <t>8.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 </t>
    </r>
  </si>
  <si>
    <t>Bơm tiêm dùng một lần 5 ml</t>
  </si>
  <si>
    <r>
      <t>9.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Times New Roman"/>
        <family val="1"/>
      </rPr>
      <t> </t>
    </r>
  </si>
  <si>
    <t>Bơm tiêm dùng một lần 10 ml</t>
  </si>
  <si>
    <r>
      <t>10.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</si>
  <si>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Cân người lớn</t>
  </si>
  <si>
    <r>
      <t>11.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</si>
  <si>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Dây garo để tiêm tĩnh mạch</t>
  </si>
  <si>
    <r>
      <t>12.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</si>
  <si>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Đè lưỡi</t>
  </si>
  <si>
    <t>Hộp</t>
  </si>
  <si>
    <r>
      <t>13.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</si>
  <si>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Hộp đựng bông</t>
  </si>
  <si>
    <r>
      <t>14.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</si>
  <si>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Hộp đựng dụng cụ</t>
  </si>
  <si>
    <r>
      <t>15.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</si>
  <si>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Khay quả đậu</t>
  </si>
  <si>
    <r>
      <t>16.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</si>
  <si>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Khay đựng dụng cụ</t>
  </si>
  <si>
    <r>
      <t>17.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</si>
  <si>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Kẹp phẫu tích</t>
  </si>
  <si>
    <r>
      <t>18.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</si>
  <si>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Kéo phẫu tích thẳng</t>
  </si>
  <si>
    <r>
      <t>19.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</si>
  <si>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Kẹp cầm mầu Kocher thẳng</t>
  </si>
  <si>
    <r>
      <t>20.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</si>
  <si>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Kẹp gắp dụng cụ, bơm tiêm</t>
  </si>
  <si>
    <r>
      <t>21.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</si>
  <si>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Nẹp cố định xương gẫy (bộ)</t>
  </si>
  <si>
    <r>
      <t>22.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</si>
  <si>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Bô tiêu dẹt</t>
  </si>
  <si>
    <r>
      <t>23.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</si>
  <si>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Vịt tiểu</t>
  </si>
  <si>
    <r>
      <t>24.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</si>
  <si>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Túi chườm nóng lạnh</t>
  </si>
  <si>
    <t>Nếu có điều kiện có thể trang bị các dụng cụ sau:</t>
  </si>
  <si>
    <r>
      <t>25.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</si>
  <si>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Cặp gấp khúc khám tai, mũi</t>
  </si>
  <si>
    <r>
      <t>26.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</si>
  <si>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Đèn khám tai mũi họng</t>
  </si>
  <si>
    <r>
      <t>27.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</si>
  <si>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Gương soi thanh quản, bộ 3 cái</t>
  </si>
  <si>
    <r>
      <t>28.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</si>
  <si>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Loa soi mũi các cỡ</t>
  </si>
  <si>
    <r>
      <t>29.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</si>
  <si>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Loa soi tai các cỡ</t>
  </si>
  <si>
    <r>
      <t>30.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</si>
  <si>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Kính soi đáy mắt</t>
  </si>
  <si>
    <r>
      <t>31.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</si>
  <si>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Điện tim</t>
  </si>
  <si>
    <t>Máy</t>
  </si>
  <si>
    <r>
      <t>32.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</si>
  <si>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Siêu âm đen trắng.....</t>
  </si>
  <si>
    <r>
      <t>33.</t>
    </r>
    <r>
      <rPr>
        <sz val="7"/>
        <color rgb="FFFF0000"/>
        <rFont val="Times New Roman"/>
        <family val="1"/>
      </rPr>
      <t xml:space="preserve">  </t>
    </r>
    <r>
      <rPr>
        <sz val="12"/>
        <color rgb="FFFF0000"/>
        <rFont val="Times New Roman"/>
        <family val="1"/>
      </rPr>
      <t> </t>
    </r>
  </si>
  <si>
    <t>Băng huyết áp kế - trẻ em</t>
  </si>
  <si>
    <r>
      <t>34.</t>
    </r>
    <r>
      <rPr>
        <sz val="7"/>
        <color rgb="FFFF0000"/>
        <rFont val="Times New Roman"/>
        <family val="1"/>
      </rPr>
      <t xml:space="preserve">  </t>
    </r>
    <r>
      <rPr>
        <sz val="12"/>
        <color rgb="FFFF0000"/>
        <rFont val="Times New Roman"/>
        <family val="1"/>
      </rPr>
      <t> </t>
    </r>
  </si>
  <si>
    <t>Bơm tiêm insulin 1mk 40/80 DV</t>
  </si>
  <si>
    <r>
      <t>35.</t>
    </r>
    <r>
      <rPr>
        <sz val="7"/>
        <color rgb="FFFF0000"/>
        <rFont val="Times New Roman"/>
        <family val="1"/>
      </rPr>
      <t xml:space="preserve">  </t>
    </r>
    <r>
      <rPr>
        <sz val="12"/>
        <color rgb="FFFF0000"/>
        <rFont val="Times New Roman"/>
        <family val="1"/>
      </rPr>
      <t> </t>
    </r>
  </si>
  <si>
    <t>Phong kham chuyen khoa Noi</t>
  </si>
  <si>
    <t>Phong kham chuyen khoa Ngoai</t>
  </si>
  <si>
    <t>Dụng cụ tối thiểu</t>
  </si>
  <si>
    <t>Bàn mổ tiểu phẫu</t>
  </si>
  <si>
    <t>Bàn để dụng cụ</t>
  </si>
  <si>
    <t>Bàn làm bột bó xương (nếu đăng ký)</t>
  </si>
  <si>
    <t>Các dụng cụ nẹp chấn thương</t>
  </si>
  <si>
    <t>Đèn mổ một bóng</t>
  </si>
  <si>
    <t>ống nghe</t>
  </si>
  <si>
    <t>Huyết áp</t>
  </si>
  <si>
    <t>Nhiệt kế</t>
  </si>
  <si>
    <t>Găng tay</t>
  </si>
  <si>
    <t>Bơm kim tiêm các loại</t>
  </si>
  <si>
    <t>Kéo cắt băng</t>
  </si>
  <si>
    <t>Kéo cắt bột (nếu đăng ký)</t>
  </si>
  <si>
    <t>Kẹp mạch máu</t>
  </si>
  <si>
    <t>Hộp dụng cụ có nắp</t>
  </si>
  <si>
    <t>Hộp hấp bông gạc hình trụ đường kính 160mm</t>
  </si>
  <si>
    <t>Bộ hấp, luộc dụng cụ</t>
  </si>
  <si>
    <t>Bộ dụng cụ cấp cứu</t>
  </si>
  <si>
    <t>Máy X quang công suất 100KV-100mA hoặc 300mA có chiếu chụp</t>
  </si>
  <si>
    <t>Máy siêu âm</t>
  </si>
  <si>
    <t>Kính chì cho phòng máy</t>
  </si>
  <si>
    <t>Bình phòng chì</t>
  </si>
  <si>
    <t>Bộ chữ Alphab bằng chì</t>
  </si>
  <si>
    <t>Casette 30 x 40 cm tăng quang</t>
  </si>
  <si>
    <t>Casette 24 x 30 cm tăng quang</t>
  </si>
  <si>
    <t>Casette 13 x 18 cm tăng quang</t>
  </si>
  <si>
    <t>Đèn đọc phim X quang 2 phim</t>
  </si>
  <si>
    <t>Đèn đọc phim X quang 1 phim</t>
  </si>
  <si>
    <t>Đèn đỏ buồng tối</t>
  </si>
  <si>
    <t>Đồng hồ báo phút giây</t>
  </si>
  <si>
    <t>Thùng đựng dung dịch in tráng phim</t>
  </si>
  <si>
    <t>Đo nồng độ dung dịch</t>
  </si>
  <si>
    <t>Khung treo phim bằng inox</t>
  </si>
  <si>
    <t>Sấy phim</t>
  </si>
  <si>
    <t>Cốc</t>
  </si>
  <si>
    <t>Bốc thụt tháo và dây dẫn</t>
  </si>
  <si>
    <t>Liều kế</t>
  </si>
  <si>
    <t>CDHA</t>
  </si>
  <si>
    <t>Số lương</t>
  </si>
  <si>
    <t>Huyết học</t>
  </si>
  <si>
    <t>Máy lắc máu có cân để lấy máu</t>
  </si>
  <si>
    <t>Máy chưng cách thuỷ</t>
  </si>
  <si>
    <t>Máy ly tâm</t>
  </si>
  <si>
    <t>Máy ly tâm Hemotocrete</t>
  </si>
  <si>
    <t>Mấy đếm tế bào 4-8th/số</t>
  </si>
  <si>
    <t>Hệ thống thực hiện kỹ thuật ELISA</t>
  </si>
  <si>
    <t>Máy đọng máu</t>
  </si>
  <si>
    <t>Bảng đọc Hemotocrete</t>
  </si>
  <si>
    <t>Tủ hấp ướt</t>
  </si>
  <si>
    <t>Tủ sấy khô</t>
  </si>
  <si>
    <t>Hốt phòng thí nghiệm</t>
  </si>
  <si>
    <t>Kính hiểu vi</t>
  </si>
  <si>
    <t>Cân chính xác</t>
  </si>
  <si>
    <t>Buồng đếm tế bào máu</t>
  </si>
  <si>
    <t>Buồng đếm dịch não tuỷ</t>
  </si>
  <si>
    <t>Bộ đo tốc độ huyết trầm</t>
  </si>
  <si>
    <t>ống hút (Potain) hồng cầu</t>
  </si>
  <si>
    <t>ống hút (Potain) bạch cầu</t>
  </si>
  <si>
    <t>ống mao quản hematocite</t>
  </si>
  <si>
    <t>Huyết sắc kế</t>
  </si>
  <si>
    <t>Huyết cầu tố kế Shali</t>
  </si>
  <si>
    <t>ống westergreen + giá đỡ</t>
  </si>
  <si>
    <t>Đồng hồ bấm phút</t>
  </si>
  <si>
    <t>Đèn cồn thuỷ tinh</t>
  </si>
  <si>
    <t>Cối chày sứ</t>
  </si>
  <si>
    <t>Chai thuỷ tinh nút dài 100ml, 250ml, 500ml, 1000ml</t>
  </si>
  <si>
    <t>40 (10 cho mỗi loại)</t>
  </si>
  <si>
    <t>ống nghiệm các cỡ</t>
  </si>
  <si>
    <t>Pipette 0,1ml</t>
  </si>
  <si>
    <t>Pipette 1ml</t>
  </si>
  <si>
    <t>Pipette 5ml</t>
  </si>
  <si>
    <r>
      <t>33.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</si>
  <si>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Pipette 10ml</t>
  </si>
  <si>
    <r>
      <t>34.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</si>
  <si>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Pipette 20ml</t>
  </si>
  <si>
    <r>
      <t>35.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</si>
  <si>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Giá đựng ống nghiệm các cỡ</t>
  </si>
  <si>
    <r>
      <t>36.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</si>
  <si>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Pipette Pasteur</t>
  </si>
  <si>
    <r>
      <t>37.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</si>
  <si>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Lam kính</t>
  </si>
  <si>
    <r>
      <t>38.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</si>
  <si>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Hộp lồng thuỷ tinh</t>
  </si>
  <si>
    <r>
      <t>39.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</si>
  <si>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Phiếu các cỡ</t>
  </si>
  <si>
    <r>
      <t>40.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</si>
  <si>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ống đong 25ml, 100ml, 250ml</t>
  </si>
  <si>
    <t>9 (3 cho mỗi loại)</t>
  </si>
  <si>
    <r>
      <t>41.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</si>
  <si>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ống nhỏ giọt</t>
  </si>
  <si>
    <r>
      <t>42.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</si>
  <si>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Bình hút ẩm</t>
  </si>
  <si>
    <r>
      <t>43.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</si>
  <si>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r>
      <t>Tủ ấm 37</t>
    </r>
    <r>
      <rPr>
        <vertAlign val="superscript"/>
        <sz val="12"/>
        <color theme="1"/>
        <rFont val="Times New Roman"/>
        <family val="1"/>
      </rPr>
      <t>oC</t>
    </r>
  </si>
  <si>
    <r>
      <t>44.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</si>
  <si>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ống chích các loại</t>
  </si>
  <si>
    <r>
      <t>45.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</si>
  <si>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Kim tiêm các cỡ</t>
  </si>
  <si>
    <r>
      <t>46.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</si>
  <si>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Kim chích đầu ngón tay</t>
  </si>
  <si>
    <r>
      <t>47.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</si>
  <si>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Giấy lọc</t>
  </si>
  <si>
    <r>
      <t>48.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</si>
  <si>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Bình cầu thuỷ tinh các cỡ</t>
  </si>
  <si>
    <t>Sinh hoá</t>
  </si>
  <si>
    <r>
      <t>49.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</si>
  <si>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Cân tiểu ly</t>
  </si>
  <si>
    <r>
      <t>50.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</si>
  <si>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r>
      <t>Máy chưng cách thuỷ 37</t>
    </r>
    <r>
      <rPr>
        <vertAlign val="superscript"/>
        <sz val="12"/>
        <color theme="1"/>
        <rFont val="Times New Roman"/>
        <family val="1"/>
      </rPr>
      <t>oC</t>
    </r>
  </si>
  <si>
    <r>
      <t>51.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</si>
  <si>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Máy quang kế</t>
  </si>
  <si>
    <r>
      <t>52.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</si>
  <si>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r>
      <t>53.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</si>
  <si>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pH mét</t>
  </si>
  <si>
    <r>
      <t>54.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</si>
  <si>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Các dụng cụ thuỷ tinh đong đo</t>
  </si>
  <si>
    <r>
      <t>55.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</si>
  <si>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r>
      <t>56.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</si>
  <si>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r>
      <t>57.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</si>
  <si>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r>
      <t>58.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</si>
  <si>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Tỷ niệu kế</t>
  </si>
  <si>
    <r>
      <t>59.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</si>
  <si>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Dụng cụ thuỷ tinh phòng thí nghiệm</t>
  </si>
  <si>
    <r>
      <t>60.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</si>
  <si>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Chuông thuỷ tinh</t>
  </si>
  <si>
    <r>
      <t>61.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</si>
  <si>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r>
      <t>62.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</si>
  <si>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r>
      <t>Tủ sấy điện 250</t>
    </r>
    <r>
      <rPr>
        <vertAlign val="superscript"/>
        <sz val="12"/>
        <color theme="1"/>
        <rFont val="Times New Roman"/>
        <family val="1"/>
      </rPr>
      <t>oC</t>
    </r>
  </si>
  <si>
    <r>
      <t>63.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</si>
  <si>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r>
      <t>64.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</si>
  <si>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Phối hợp với bộ phận huyết học và vi sinh</t>
  </si>
  <si>
    <t>Vi sinh</t>
  </si>
  <si>
    <r>
      <t>65.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</si>
  <si>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Kính hiển vi</t>
  </si>
  <si>
    <r>
      <t>66.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</si>
  <si>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r>
      <t>67.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</si>
  <si>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Tủ sấy điện</t>
  </si>
  <si>
    <r>
      <t>68.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</si>
  <si>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r>
      <t>69.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</si>
  <si>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r>
      <t>70.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</si>
  <si>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Lồng cấy</t>
  </si>
  <si>
    <r>
      <t>71.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</si>
  <si>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Máy đun khuấy từ</t>
  </si>
  <si>
    <r>
      <t>72.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</si>
  <si>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Máy cất nước</t>
  </si>
  <si>
    <r>
      <t>73.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</si>
  <si>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Máy lọc nước</t>
  </si>
  <si>
    <r>
      <t>74.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</si>
  <si>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Đồng hồ báo thức</t>
  </si>
  <si>
    <r>
      <t>75.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</si>
  <si>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r>
      <t>76.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</si>
  <si>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Khay Inox</t>
  </si>
  <si>
    <r>
      <t>77.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</si>
  <si>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Chậu Inox</t>
  </si>
  <si>
    <r>
      <t>78.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</si>
  <si>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Dao mổ + cán</t>
  </si>
  <si>
    <r>
      <t>79.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</si>
  <si>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Khuyên dây cấy vi trùng</t>
  </si>
  <si>
    <r>
      <t>80.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</si>
  <si>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Bơm kim tiêm</t>
  </si>
  <si>
    <r>
      <t>81.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</si>
  <si>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Chai có vòi xịt</t>
  </si>
  <si>
    <r>
      <t>82.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</si>
  <si>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Chai có nút nhám thuỷ tinh các cỡ</t>
  </si>
  <si>
    <r>
      <t>83.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</si>
  <si>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Đèn cồn</t>
  </si>
  <si>
    <r>
      <t>84.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</si>
  <si>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Đèn sấy lam kinh sau khi nhuộm</t>
  </si>
  <si>
    <r>
      <t>85.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</si>
  <si>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r>
      <t>86.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</si>
  <si>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Hộp Pétre</t>
  </si>
  <si>
    <r>
      <t>87.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</si>
  <si>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r>
      <t>88.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</si>
  <si>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ống tube có nút vặn các cỡ</t>
  </si>
  <si>
    <r>
      <t>89.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</si>
  <si>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Bút chì viết trên kính</t>
  </si>
  <si>
    <r>
      <t>90.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</si>
  <si>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Erlenmeyer (các cỡ)</t>
  </si>
  <si>
    <r>
      <t>91.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</si>
  <si>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Epronvette (các cỡ)</t>
  </si>
  <si>
    <r>
      <t>92.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</si>
  <si>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Ballon 500ml, 1000ml, 2000ml</t>
  </si>
  <si>
    <r>
      <t>93.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</si>
  <si>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r>
      <t>94.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</si>
  <si>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Lammelle</t>
  </si>
  <si>
    <r>
      <t>95.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</si>
  <si>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Kính kháng ứng Bocrer (làm VDRL)</t>
  </si>
  <si>
    <r>
      <t>96.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</si>
  <si>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Pipette Sérologie 1ml, 2ml, 5ml, 10ml</t>
  </si>
  <si>
    <r>
      <t>97.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</si>
  <si>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ống tube quay ly tâm 12 x 75mm, 13 x100mm</t>
  </si>
  <si>
    <r>
      <t>98.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</si>
  <si>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Chai thuỷ tinh màu nâu</t>
  </si>
  <si>
    <r>
      <t>99.</t>
    </r>
    <r>
      <rPr>
        <sz val="7"/>
        <color theme="1"/>
        <rFont val="Times New Roman"/>
        <family val="1"/>
      </rPr>
      <t xml:space="preserve">  </t>
    </r>
    <r>
      <rPr>
        <sz val="12"/>
        <color theme="1"/>
        <rFont val="Times New Roman"/>
        <family val="1"/>
      </rPr>
      <t> </t>
    </r>
  </si>
  <si>
    <t>Bình lọc seitz</t>
  </si>
  <si>
    <r>
      <t>100.</t>
    </r>
    <r>
      <rPr>
        <sz val="7"/>
        <color theme="1"/>
        <rFont val="Times New Roman"/>
        <family val="1"/>
      </rPr>
      <t xml:space="preserve">          </t>
    </r>
    <r>
      <rPr>
        <sz val="12"/>
        <color theme="1"/>
        <rFont val="Times New Roman"/>
        <family val="1"/>
      </rPr>
      <t> </t>
    </r>
  </si>
  <si>
    <t>Giấy lọc seitz các loại</t>
  </si>
  <si>
    <r>
      <t>101.</t>
    </r>
    <r>
      <rPr>
        <sz val="7"/>
        <color theme="1"/>
        <rFont val="Times New Roman"/>
        <family val="1"/>
      </rPr>
      <t xml:space="preserve">          </t>
    </r>
    <r>
      <rPr>
        <sz val="12"/>
        <color theme="1"/>
        <rFont val="Times New Roman"/>
        <family val="1"/>
      </rPr>
      <t> </t>
    </r>
  </si>
  <si>
    <t>Lọc Milipore</t>
  </si>
  <si>
    <r>
      <t>102.</t>
    </r>
    <r>
      <rPr>
        <sz val="7"/>
        <color theme="1"/>
        <rFont val="Times New Roman"/>
        <family val="1"/>
      </rPr>
      <t xml:space="preserve">          </t>
    </r>
    <r>
      <rPr>
        <sz val="12"/>
        <color theme="1"/>
        <rFont val="Times New Roman"/>
        <family val="1"/>
      </rPr>
      <t> </t>
    </r>
  </si>
  <si>
    <t>Gạc thấm nước</t>
  </si>
  <si>
    <r>
      <t>103.</t>
    </r>
    <r>
      <rPr>
        <sz val="7"/>
        <color theme="1"/>
        <rFont val="Times New Roman"/>
        <family val="1"/>
      </rPr>
      <t xml:space="preserve">          </t>
    </r>
    <r>
      <rPr>
        <sz val="12"/>
        <color theme="1"/>
        <rFont val="Times New Roman"/>
        <family val="1"/>
      </rPr>
      <t> </t>
    </r>
  </si>
  <si>
    <t>Giấy gói dụng cụ hấp</t>
  </si>
  <si>
    <r>
      <t>104.</t>
    </r>
    <r>
      <rPr>
        <sz val="7"/>
        <color theme="1"/>
        <rFont val="Times New Roman"/>
        <family val="1"/>
      </rPr>
      <t xml:space="preserve">          </t>
    </r>
    <r>
      <rPr>
        <sz val="12"/>
        <color theme="1"/>
        <rFont val="Times New Roman"/>
        <family val="1"/>
      </rPr>
      <t> </t>
    </r>
  </si>
  <si>
    <t>Giấy đo pH</t>
  </si>
  <si>
    <r>
      <t>105.</t>
    </r>
    <r>
      <rPr>
        <sz val="7"/>
        <color theme="1"/>
        <rFont val="Times New Roman"/>
        <family val="1"/>
      </rPr>
      <t xml:space="preserve">          </t>
    </r>
    <r>
      <rPr>
        <sz val="12"/>
        <color theme="1"/>
        <rFont val="Times New Roman"/>
        <family val="1"/>
      </rPr>
      <t> </t>
    </r>
  </si>
  <si>
    <t>Que, đè lưỡi</t>
  </si>
  <si>
    <t xml:space="preserve"> </t>
  </si>
  <si>
    <r>
      <t>106.</t>
    </r>
    <r>
      <rPr>
        <sz val="7"/>
        <color theme="1"/>
        <rFont val="Times New Roman"/>
        <family val="1"/>
      </rPr>
      <t xml:space="preserve">          </t>
    </r>
    <r>
      <rPr>
        <sz val="12"/>
        <color theme="1"/>
        <rFont val="Times New Roman"/>
        <family val="1"/>
      </rPr>
      <t> </t>
    </r>
  </si>
  <si>
    <t>ống mao quản bằng thuỷ tinh</t>
  </si>
  <si>
    <r>
      <t>107.</t>
    </r>
    <r>
      <rPr>
        <sz val="7"/>
        <color theme="1"/>
        <rFont val="Times New Roman"/>
        <family val="1"/>
      </rPr>
      <t xml:space="preserve">          </t>
    </r>
    <r>
      <rPr>
        <sz val="12"/>
        <color theme="1"/>
        <rFont val="Times New Roman"/>
        <family val="1"/>
      </rPr>
      <t> </t>
    </r>
  </si>
  <si>
    <t>Găng tay cao su</t>
  </si>
  <si>
    <t>Xet nghiem</t>
  </si>
  <si>
    <t xml:space="preserve">Máy điện tim </t>
  </si>
  <si>
    <t xml:space="preserve">Máy khí dung </t>
  </si>
  <si>
    <t>Máy phá rung, tạo nhịp tim</t>
  </si>
  <si>
    <t>Máy hút điện chạy liên tục</t>
  </si>
  <si>
    <t>Máy và hệ thống báo gọi y tá</t>
  </si>
  <si>
    <t>Bộ đặt nội khí quản</t>
  </si>
  <si>
    <t>Bộ mở khí quản</t>
  </si>
  <si>
    <t xml:space="preserve">Đè lưỡi các loại </t>
  </si>
  <si>
    <t>Đèn đọc phim x-quang</t>
  </si>
  <si>
    <t xml:space="preserve">Bộ dụng cụ tiểu phẫu </t>
  </si>
  <si>
    <t>Hộp hấp bông gạc các loại</t>
  </si>
  <si>
    <t xml:space="preserve">Hộp hấp dụng cụ các loại </t>
  </si>
  <si>
    <t>Khay đụng dụng cụ các loại</t>
  </si>
  <si>
    <t xml:space="preserve">Tủ đựng dụng cụ </t>
  </si>
  <si>
    <t>Túi chườm nóng lạnh (cao su)</t>
  </si>
  <si>
    <t>Bàn làm bột bó xương</t>
  </si>
  <si>
    <t xml:space="preserve">Cáng tay </t>
  </si>
  <si>
    <t>Găng tay y tế</t>
  </si>
  <si>
    <t>Bơm tiêm thuỷ tinh 20ml+kim</t>
  </si>
  <si>
    <t>Máy huỷ bơm kim tiêm 1 lần</t>
  </si>
  <si>
    <t>Bơm thức ăn cho trẻ em</t>
  </si>
  <si>
    <t>Bốc tháo hụt</t>
  </si>
  <si>
    <t>Bô dẹt cho nữ</t>
  </si>
  <si>
    <t>Bô đái cho nam</t>
  </si>
  <si>
    <t>KHOA PHẪU THUẬT GÂY MÊ HỒI SỨC </t>
  </si>
  <si>
    <t xml:space="preserve">Máy gây mê </t>
  </si>
  <si>
    <t>Máy gây mê kèm giúp thở</t>
  </si>
  <si>
    <t>Dao mổ điện</t>
  </si>
  <si>
    <t>Dao mổ lade các loại</t>
  </si>
  <si>
    <t>Dao mổ siêu âm</t>
  </si>
  <si>
    <t>Kính hiển vi phẫu thuật mắt</t>
  </si>
  <si>
    <t>Thiết bị phẫu thuật mắt Exzimer</t>
  </si>
  <si>
    <t>Kính hiển vi phẫu thuật TMH</t>
  </si>
  <si>
    <t>Thiết bị mổ nội soi ổ bụng có monitor</t>
  </si>
  <si>
    <t>Máy phá rung tim tạo nhip tim</t>
  </si>
  <si>
    <t>Máy tim phổi nhân tạo</t>
  </si>
  <si>
    <t>Monitor theo dõi bệnh nhân(phòng mô 8,hậu phẫu 8)</t>
  </si>
  <si>
    <t>Máy bào da</t>
  </si>
  <si>
    <t>Máy X-quang C-arm có TV</t>
  </si>
  <si>
    <t>Cưa  xương loại điện</t>
  </si>
  <si>
    <t>Cưa cắt bột loại điện</t>
  </si>
  <si>
    <t>Dao cắt bột tay</t>
  </si>
  <si>
    <t>Khoan xương điện</t>
  </si>
  <si>
    <t>Khoan xương tay</t>
  </si>
  <si>
    <t xml:space="preserve">Máy hút phẫu thuật </t>
  </si>
  <si>
    <t>Bơm tiêm điện các loại</t>
  </si>
  <si>
    <t>Hệ thống quay video camêra phòng mổ(phục vụ hội chẩn, đào tạo)</t>
  </si>
  <si>
    <t>Bàn mổ chấn thương chỉnh hình</t>
  </si>
  <si>
    <t>Bàn mổ vạn năng thuỷ lực</t>
  </si>
  <si>
    <t>Đèn đọc phim X-quang loại 4 phim</t>
  </si>
  <si>
    <t>Đèn mổ 1 bóng di đôngj</t>
  </si>
  <si>
    <t>Đèn mổ di động1 bóng</t>
  </si>
  <si>
    <t>Đèn mổ treo trần180000-200000lux có đèn soi phụ</t>
  </si>
  <si>
    <t>Bộ đại phẫu</t>
  </si>
  <si>
    <t>Bộ trung phẫu</t>
  </si>
  <si>
    <t>Bộ tiểu phẫu</t>
  </si>
  <si>
    <t>Bộ dụng cụ bộc lộ tĩnh mạch</t>
  </si>
  <si>
    <t>Bộ dụng cụ cắt búi trĩ</t>
  </si>
  <si>
    <t>Bộ dụng cụ mơ khí quản</t>
  </si>
  <si>
    <t>Bộ dụng cụ phẫu thuật RHM</t>
  </si>
  <si>
    <t>Bộ dụng cụ phẫu thuật tim mạch</t>
  </si>
  <si>
    <t>Bộ dụng cụ phẫu thuật tiết liệu</t>
  </si>
  <si>
    <t>Bộp dụng cụ phẫu thuật tiền liệt tuyến</t>
  </si>
  <si>
    <t>Bộ dụng cụ phẫu thuật cắt bỏ túi mật</t>
  </si>
  <si>
    <t>Bộ dụng cụ phẫu thuật cắt bỏ tuyến giáp</t>
  </si>
  <si>
    <t>Bộ dụng cụ phẫu thuật cột sống</t>
  </si>
  <si>
    <t>Bộ dụng cụ phẫu thuật chấn thương chỉnh hình</t>
  </si>
  <si>
    <t>Bộ dụng cụ phẫu thuật dạ dày</t>
  </si>
  <si>
    <t>Bộ phẫu thuật dụng cụ lồng ngực</t>
  </si>
  <si>
    <t>Bộ dụng cụ phẫu thuật mắt</t>
  </si>
  <si>
    <t xml:space="preserve">Bộ dụng cụ phẫu thuật phụ khoa </t>
  </si>
  <si>
    <t>bộ dụng cụ phẫu thuật sản khoa</t>
  </si>
  <si>
    <t>bộ dụng cụ phẫu thuật nhi khoa</t>
  </si>
  <si>
    <t>Bộ dụng vi phẫu tai</t>
  </si>
  <si>
    <t>bộ dụng cụ phẫu thuật thanh quản</t>
  </si>
  <si>
    <t>Bộ dụng cụ phẫu thuật thần kinh xọ não</t>
  </si>
  <si>
    <t>Bộ dụng cụ thẩm mỹ</t>
  </si>
  <si>
    <t>Bộ dụng cụ phẫu thuật TMH</t>
  </si>
  <si>
    <t>Bộ dụng cụ phẫu thuật xoang</t>
  </si>
  <si>
    <t>Bộ dụng cụ vi phẫu mạch máu</t>
  </si>
  <si>
    <t>Bộ dụng cụ vi phẫu thần kinh</t>
  </si>
  <si>
    <t>Mọt số dụng cụ phẫu thuật khác phụ thuộc vào khả năng truyên môn</t>
  </si>
  <si>
    <t>tuỳ  chọn</t>
  </si>
  <si>
    <t>Bộ ambu bóp bóng người lớn</t>
  </si>
  <si>
    <t>Bộ ambu bóp bóng trẻ em</t>
  </si>
  <si>
    <t>Tủ lạnh bảo quản máu</t>
  </si>
  <si>
    <t xml:space="preserve">Tủ lạnh </t>
  </si>
  <si>
    <t>Xe cấp phát thuốc</t>
  </si>
  <si>
    <t xml:space="preserve">Nồi luộc dụng cụ </t>
  </si>
  <si>
    <t>Nồi hấp ướt</t>
  </si>
  <si>
    <t>Thiết bị rửa tay phẫu thuật viên 2 người</t>
  </si>
  <si>
    <t>Găng tay phẫu thuật viên</t>
  </si>
  <si>
    <t xml:space="preserve">Bơm tiêm 1 lần các loại </t>
  </si>
  <si>
    <t>Máy huỷ bơm kim tiêm một lần</t>
  </si>
  <si>
    <t xml:space="preserve">Giường bệnh </t>
  </si>
  <si>
    <t>Cân bàn(trọng lượng 120 kg)</t>
  </si>
  <si>
    <t>Máy phát điện dự phòng2KVA đến 5KVA/ 220V/50HZ</t>
  </si>
  <si>
    <t>Máy vi tính +máy in</t>
  </si>
  <si>
    <t>Máy soi cổ tử cung</t>
  </si>
  <si>
    <t>Máy siêu âm chẩn đoán</t>
  </si>
  <si>
    <t>Máy theo dõi chuyển dạ đẻ</t>
  </si>
  <si>
    <t>Doppler tim thai</t>
  </si>
  <si>
    <t>Máy đốt điện cổ tử cung</t>
  </si>
  <si>
    <t>Máy hút điện áp lực thấp</t>
  </si>
  <si>
    <t>Máy hút nhớt trẻ sơ sinh</t>
  </si>
  <si>
    <t>Máy thở trẻ em</t>
  </si>
  <si>
    <t>Máy bơm điện</t>
  </si>
  <si>
    <t>Máy bơm hơi vòi trứng</t>
  </si>
  <si>
    <t>Thiết bị soi ối</t>
  </si>
  <si>
    <t>Bàn khám phụ khoa</t>
  </si>
  <si>
    <t>Bàn đẻ</t>
  </si>
  <si>
    <t>Bàn mổ đẻ</t>
  </si>
  <si>
    <t>Bàn phẫu thuật phụ khoa</t>
  </si>
  <si>
    <t>Hệ thống thông báo gọi y tá</t>
  </si>
  <si>
    <t>Huyết áp kế sơ sinh</t>
  </si>
  <si>
    <t>Ambu bóp bóng người lớn</t>
  </si>
  <si>
    <t>Đèn điều trị vàng da</t>
  </si>
  <si>
    <t>Đèn điều trị hồng ngoại</t>
  </si>
  <si>
    <t>Bộ thông niệu đạo nữ</t>
  </si>
  <si>
    <t>Bộ triệt sản nữ</t>
  </si>
  <si>
    <t>Bộ triệt sản nam</t>
  </si>
  <si>
    <t>Bộ dụng cụ đỡ đẻ</t>
  </si>
  <si>
    <t>Bộ dụng cụ khám phụ sản khoa</t>
  </si>
  <si>
    <t>Bộ dụng cụ lấy thai và cắt tử cung</t>
  </si>
  <si>
    <t>Bộ dụng cụ cắt tử cung</t>
  </si>
  <si>
    <t>Bộ dụng cụ mổ lấy thai</t>
  </si>
  <si>
    <t>Kìm sinh thiết cổ tử cung</t>
  </si>
  <si>
    <t>Thiết bị làm ấm trẻ em</t>
  </si>
  <si>
    <t>Bộ nạo thai</t>
  </si>
  <si>
    <t>Bộ tháo vòng tránh thai</t>
  </si>
  <si>
    <t>Dụng cụ hút nhớt trẻ em bằng tay</t>
  </si>
  <si>
    <t>Cân người lớn với thước đo chiều cao</t>
  </si>
  <si>
    <t>Cân trẻ sơ sinh</t>
  </si>
  <si>
    <t>Chậu tắm trẻ em</t>
  </si>
  <si>
    <t>Giường hồi sức sau đẻ</t>
  </si>
  <si>
    <t>Van chỉnh áp lực cho bình ô xy</t>
  </si>
  <si>
    <t xml:space="preserve">Găng tay y tế </t>
  </si>
  <si>
    <t>Bình đẩy cấp phát thuốc</t>
  </si>
  <si>
    <t>Tủ dựng tài liệu</t>
  </si>
  <si>
    <t>Xe đẩy dồ vải</t>
  </si>
  <si>
    <t>Xô đựng dung dịch khử khuẩn</t>
  </si>
  <si>
    <t>KHOA TAI MŨI HỌNG</t>
  </si>
  <si>
    <t>Máy soi mũi xoang</t>
  </si>
  <si>
    <t>Nhiệt kế y học  420C</t>
  </si>
  <si>
    <t>Obstetrics</t>
  </si>
  <si>
    <t>Provincial Hospital Standard: http://emc-vn.com.vn/index.php?option=com_content&amp;view=article&amp;id=13:emc-vn&amp;catid=14:tin-tuc&amp;Itemid=4&amp;lang=vi</t>
  </si>
  <si>
    <t>Minimum Requirement for each specialties</t>
  </si>
  <si>
    <t>Item</t>
  </si>
  <si>
    <t>PROVINCIAL HOSPITAL REFERENCE</t>
  </si>
  <si>
    <t>MINIMUM REQUIREMENT REFERENCE</t>
  </si>
  <si>
    <t>Imaging Diagnosis equipment</t>
  </si>
  <si>
    <t>Emergency room equipment</t>
  </si>
  <si>
    <t>Patient room equipment</t>
  </si>
  <si>
    <t>Check-up- General equipments</t>
  </si>
  <si>
    <t>Check-up- Internal Medicine</t>
  </si>
  <si>
    <t>Check-up- Surgery</t>
  </si>
  <si>
    <t>Check-up- Obstetrics</t>
  </si>
  <si>
    <t>Waste treatment system</t>
  </si>
  <si>
    <t>Pre-Operation</t>
  </si>
  <si>
    <t>Fire safety system</t>
  </si>
  <si>
    <t>Traveling</t>
  </si>
  <si>
    <t>System</t>
  </si>
  <si>
    <t>Spectrophotometer</t>
  </si>
  <si>
    <t>Operation</t>
  </si>
  <si>
    <t>Emergency room</t>
  </si>
  <si>
    <t>Patient room</t>
  </si>
  <si>
    <t>Emergency Room</t>
  </si>
  <si>
    <t>Patient Room</t>
  </si>
  <si>
    <t>Patient beds (in-day)</t>
  </si>
  <si>
    <t>recommended</t>
  </si>
  <si>
    <t>CT-Scan</t>
  </si>
  <si>
    <t>CAPEX ASSUMPTIONS</t>
  </si>
  <si>
    <t>Area per air-conditioner</t>
  </si>
  <si>
    <t>m2 per airconditioner</t>
  </si>
  <si>
    <t>Camera coverage area</t>
  </si>
  <si>
    <t>of total area</t>
  </si>
  <si>
    <t>Area per camera</t>
  </si>
  <si>
    <t>m2 per camera</t>
  </si>
  <si>
    <t>LCD coverage area</t>
  </si>
  <si>
    <t>Area per LCD</t>
  </si>
  <si>
    <t>White Board</t>
  </si>
  <si>
    <t>Consultation equipment</t>
  </si>
  <si>
    <t>WASTE TREATMENT &amp; FIRE SAFETY SYSTEM</t>
  </si>
  <si>
    <t>EMERGENCY ROOM</t>
  </si>
  <si>
    <t>PATIENT ROOM</t>
  </si>
  <si>
    <t>Waste management &amp; fire safety system</t>
  </si>
  <si>
    <t>Land Rental Area</t>
  </si>
  <si>
    <t>Growth rate</t>
  </si>
  <si>
    <t>Computers &amp; soft-ware</t>
  </si>
  <si>
    <t>Operation Capex</t>
  </si>
  <si>
    <t>Maintainance fee - Testing equipments</t>
  </si>
  <si>
    <t>Maintainance fee - Imaging Diagnosis equipments</t>
  </si>
  <si>
    <t>Maintainance fee - Cars/vehicles</t>
  </si>
  <si>
    <t>Maintainance fee - Office Infrastructure</t>
  </si>
  <si>
    <t>Maintainance fee - Others</t>
  </si>
  <si>
    <t>Unit: US $</t>
  </si>
  <si>
    <t>Per equipment</t>
  </si>
  <si>
    <t>Per vehicle</t>
  </si>
  <si>
    <t>Per m2</t>
  </si>
  <si>
    <t>Per item</t>
  </si>
  <si>
    <t>Gross Salary (Year)</t>
  </si>
  <si>
    <t>Tax Policy</t>
  </si>
  <si>
    <t>START-UP</t>
  </si>
  <si>
    <t>Consumables</t>
  </si>
  <si>
    <t>Test kits</t>
  </si>
  <si>
    <t>Emergency bed</t>
  </si>
  <si>
    <t>Fixture &amp; Fitting out</t>
  </si>
  <si>
    <t>Vice President</t>
  </si>
  <si>
    <t>Refrigerator (200ml)</t>
  </si>
  <si>
    <t>Colposcope</t>
  </si>
  <si>
    <t>Personal oxygen generator</t>
  </si>
  <si>
    <t>Minor surgery kits</t>
  </si>
  <si>
    <t>CT Scan (&gt; 6 slides)</t>
  </si>
  <si>
    <t>X-Ray 500mA</t>
  </si>
  <si>
    <t>Portable X-Ray machine</t>
  </si>
  <si>
    <t>Multi-dimension ultrasound machine</t>
  </si>
  <si>
    <t>Color ultrasound machine</t>
  </si>
  <si>
    <t>Black and white ultrasound machine</t>
  </si>
  <si>
    <t>Transeranial doppler</t>
  </si>
  <si>
    <t>C-arm machine</t>
  </si>
  <si>
    <t>Oven 3000C</t>
  </si>
  <si>
    <t>Sterilizer</t>
  </si>
  <si>
    <t>Total Annual</t>
  </si>
  <si>
    <t>M2</t>
  </si>
  <si>
    <t xml:space="preserve">Utilities </t>
  </si>
  <si>
    <t>Annual C $ost</t>
  </si>
  <si>
    <t>Monthly Cost</t>
  </si>
  <si>
    <t>Project Manager</t>
  </si>
  <si>
    <t>Reviewed</t>
  </si>
  <si>
    <t>Official fee = VND700,000</t>
  </si>
  <si>
    <t>Capex Volume/Drivers</t>
  </si>
  <si>
    <t>To obtain license</t>
  </si>
  <si>
    <t>Pre-Operational Capex</t>
  </si>
  <si>
    <t>Electric Generator 2500w-3000w,220v,50hz</t>
  </si>
  <si>
    <t>PET-Scan</t>
  </si>
  <si>
    <t>Net margin %</t>
  </si>
  <si>
    <t>for the first 12 months</t>
  </si>
  <si>
    <t>By law, the business is exempted for the first 4 years and then 10%.</t>
  </si>
  <si>
    <t>Chemicals</t>
  </si>
  <si>
    <t>Total COGS</t>
  </si>
  <si>
    <t>% of revenue</t>
  </si>
  <si>
    <t>Main COGS items</t>
  </si>
  <si>
    <t>(gloves,syringes)</t>
  </si>
  <si>
    <t>Gross margin :</t>
  </si>
  <si>
    <t>TOTAL CAPEX</t>
  </si>
  <si>
    <t>Fixtures &amp; Fittings</t>
  </si>
  <si>
    <t>Year 1 Capex (USD)</t>
  </si>
  <si>
    <t>APPENDIX 1: KEY ASSUMPTIONS</t>
  </si>
  <si>
    <t>APPENDIX 2: KEY ASSUMPTIONS</t>
  </si>
  <si>
    <t>APPENDIX 2: MARKET SERVICE FEE RATES</t>
  </si>
  <si>
    <t>APPENDIX 5: YEAR 1 CAPEX</t>
  </si>
  <si>
    <t>APPENDIX 6: YEAR 1 CAPEX</t>
  </si>
  <si>
    <t>APPENDIX 8: 5-YEAR HEADCOUNT</t>
  </si>
  <si>
    <t>APPENDIX 9: YEAR 1 HEADCOUNT</t>
  </si>
  <si>
    <t>APPENDIX 10: 5-YEAR OPERATING EXPENSES</t>
  </si>
  <si>
    <t>APPENDIX 11: YEAR 1-OPERATING EXPENSES</t>
  </si>
  <si>
    <t>5-Year Projected Financial Performance</t>
  </si>
  <si>
    <t>5-Year Revenue Analysis</t>
  </si>
  <si>
    <t>5-Year Capital Expenditure Forecast</t>
  </si>
  <si>
    <t>5-Year Headcout Forecast</t>
  </si>
  <si>
    <t>5-Year Operating Expenses</t>
  </si>
  <si>
    <t>Status</t>
  </si>
  <si>
    <t>Year 1 Capex only</t>
  </si>
  <si>
    <t>Commission &amp; Others</t>
  </si>
  <si>
    <t>Diagnostic Imaging Rate (USD)</t>
  </si>
  <si>
    <t>Vision chart</t>
  </si>
  <si>
    <t>Patient trolley</t>
  </si>
  <si>
    <t xml:space="preserve">Knee jerk hammer </t>
  </si>
  <si>
    <t>(Búa tìm phản xạ)</t>
  </si>
  <si>
    <t xml:space="preserve">Tongue depressor </t>
  </si>
  <si>
    <t>(Đè lưỡi)</t>
  </si>
  <si>
    <t xml:space="preserve">Tool box </t>
  </si>
  <si>
    <t>(Hộp đựng dụng cụ)</t>
  </si>
  <si>
    <t>Clamp dissection</t>
  </si>
  <si>
    <t xml:space="preserve"> (kẹp phẫu tích)</t>
  </si>
  <si>
    <t>Heamostatic forceps</t>
  </si>
  <si>
    <t xml:space="preserve"> (Kẹp cầm mầu Kocher thẳng)</t>
  </si>
  <si>
    <t>Medical tongs</t>
  </si>
  <si>
    <t>Hot&amp;Cold Pack</t>
  </si>
  <si>
    <t>E.N.T.  head light </t>
  </si>
  <si>
    <t>Nurse calling system</t>
  </si>
  <si>
    <t>Ambu bag valve mask</t>
  </si>
  <si>
    <t xml:space="preserve"> (bộ bóp bóng)</t>
  </si>
  <si>
    <t xml:space="preserve">Ventilator </t>
  </si>
  <si>
    <t>(máy thở)</t>
  </si>
  <si>
    <t>Anesthasia machine</t>
  </si>
  <si>
    <t xml:space="preserve"> (máy gây mê)</t>
  </si>
  <si>
    <t>Infusion pump</t>
  </si>
  <si>
    <t xml:space="preserve"> (máy truyền dịch)</t>
  </si>
  <si>
    <t>5 Year Capex &amp; Cash flow forecast</t>
  </si>
  <si>
    <t>Cashflow</t>
  </si>
  <si>
    <t>Operating Activities</t>
  </si>
  <si>
    <t>Net Profit</t>
  </si>
  <si>
    <t>Add: Interest Charges</t>
  </si>
  <si>
    <t>Cash before working capital adjustments</t>
  </si>
  <si>
    <t>NET CASH FROM OPERATION</t>
  </si>
  <si>
    <t>Investing Activities</t>
  </si>
  <si>
    <t>NET CASH USED IN INVESTING</t>
  </si>
  <si>
    <t>Financing Activities</t>
  </si>
  <si>
    <t>Issue of Common Stock</t>
  </si>
  <si>
    <t>NET CASH RAISED FROM FINANCING</t>
  </si>
  <si>
    <t xml:space="preserve">NET CASH </t>
  </si>
  <si>
    <t>OPENING BALANCE</t>
  </si>
  <si>
    <t>Add back: Depreciation and Amortisation</t>
  </si>
  <si>
    <t>Insulin syringe 1mk 40/80 DV</t>
  </si>
  <si>
    <t>Minor surgical operation table</t>
  </si>
  <si>
    <t>Fetal monitor</t>
  </si>
  <si>
    <t xml:space="preserve">MFM </t>
  </si>
  <si>
    <t xml:space="preserve">(kính hiển vi phân lực) </t>
  </si>
  <si>
    <t>(Bộ nội soi dạ dày, đại tráng, tá tràng ống mềm Video + Moniter)</t>
  </si>
  <si>
    <t>Endoscopy (stomach, colon)</t>
  </si>
  <si>
    <t xml:space="preserve"> (Bộ nội soi phế quản ống mềm Video + Moniter)</t>
  </si>
  <si>
    <t>Endoscopy (bronchial)</t>
  </si>
  <si>
    <t>(Bộ nội soi tiết niệu)</t>
  </si>
  <si>
    <t>Endoscopy (urinary)</t>
  </si>
  <si>
    <t>Medical X-ray Processor</t>
  </si>
  <si>
    <t>Máy rửa phim X-quang</t>
  </si>
  <si>
    <t>Dryview laser imager</t>
  </si>
  <si>
    <t>Gyneacology examination beds</t>
  </si>
  <si>
    <t>Gyneacology operation beds</t>
  </si>
  <si>
    <t>Hot &amp; Cold pack (rubber)</t>
  </si>
  <si>
    <t>Emergency tool kits</t>
  </si>
  <si>
    <t>Fetal Doppler</t>
  </si>
  <si>
    <t>Electrosurgical unit</t>
  </si>
  <si>
    <t>Dehumidifiers</t>
  </si>
  <si>
    <t>Fetoscopy</t>
  </si>
  <si>
    <t>Máy hút dịch áp lực thấp</t>
  </si>
  <si>
    <t>Suction pump</t>
  </si>
  <si>
    <t>Suction pump (surgical aspirator)</t>
  </si>
  <si>
    <t>Mammography</t>
  </si>
  <si>
    <t>Chụp nhũ ảnh</t>
  </si>
  <si>
    <t>Bandage Scissor</t>
  </si>
  <si>
    <t>Cast-plaster cutter</t>
  </si>
  <si>
    <t>Mode of entry</t>
  </si>
  <si>
    <t>Greenfield</t>
  </si>
  <si>
    <t>Business model</t>
  </si>
  <si>
    <t>Polyclinic with 3 specialties: Internal Medicine, Surgery, Obstetrics/Gyneacology</t>
  </si>
  <si>
    <t>Focus</t>
  </si>
  <si>
    <t>Advanced Laboratory Services</t>
  </si>
  <si>
    <t>Advanced Imaging Diagnosis Services</t>
  </si>
  <si>
    <t>Location</t>
  </si>
  <si>
    <t>CT Scan/PET-Scan</t>
  </si>
  <si>
    <t>Increase in inventory</t>
  </si>
  <si>
    <t>FIXTURE &amp; FITTING OUT</t>
  </si>
  <si>
    <t>Increase in Trade Creditors</t>
  </si>
  <si>
    <t>Increase in Social Insurance</t>
  </si>
  <si>
    <t>Target Debt/Total Investment</t>
  </si>
  <si>
    <t>5-Year Cashflow Forecast</t>
  </si>
  <si>
    <t>Investment Size and Capital Structure</t>
  </si>
  <si>
    <t>Increase in Trade Debtors &amp; Prepayments</t>
  </si>
  <si>
    <t>Accumulated Depreciation</t>
  </si>
  <si>
    <t>Fixed assets</t>
  </si>
  <si>
    <t>Fixed asset investment</t>
  </si>
  <si>
    <t>Equity</t>
  </si>
  <si>
    <t>New issuance</t>
  </si>
  <si>
    <t>Withdral</t>
  </si>
  <si>
    <t>Pay-out ratio</t>
  </si>
  <si>
    <t>Pay-out to shareholder</t>
  </si>
  <si>
    <t>Payout to shareholder</t>
  </si>
  <si>
    <t>Interest payment</t>
  </si>
  <si>
    <t>Repayment of LT Bank loan</t>
  </si>
  <si>
    <t>Issue of new LT loan</t>
  </si>
  <si>
    <t>Revolving</t>
  </si>
  <si>
    <t>CLOSING BALANCE BEFORE SHORT TERM REVOLVING</t>
  </si>
  <si>
    <t>Require cash</t>
  </si>
  <si>
    <t>Annual sales</t>
  </si>
  <si>
    <t>Excess cash</t>
  </si>
  <si>
    <t>Requires cash</t>
  </si>
  <si>
    <t>Cash revolving/Excess</t>
  </si>
  <si>
    <t>Cash on hand</t>
  </si>
  <si>
    <t>This Model is prepared by StoxPlus Corporation for ABC. This Model is an integral part of and should be reviewed in conjunction with the Business Plan. Please email thuan.nguyen@stoxplus.com for any queries.</t>
  </si>
</sst>
</file>

<file path=xl/styles.xml><?xml version="1.0" encoding="utf-8"?>
<styleSheet xmlns="http://schemas.openxmlformats.org/spreadsheetml/2006/main">
  <numFmts count="16">
    <numFmt numFmtId="6" formatCode="&quot;$&quot;#,##0_);[Red]\(&quot;$&quot;#,##0\)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_(* #,##0_);_(* \(#,##0\);_(* &quot;-&quot;??_);_(@_)"/>
    <numFmt numFmtId="166" formatCode="0.0%"/>
    <numFmt numFmtId="167" formatCode="0.0"/>
    <numFmt numFmtId="168" formatCode="_(&quot;$&quot;* #,##0_);_(&quot;$&quot;* \(#,##0\);_(&quot;$&quot;* &quot;-&quot;??_);_(@_)"/>
    <numFmt numFmtId="169" formatCode="_-* #,##0_-;\-* #,##0_-;_-* &quot;-&quot;??_-;_-@_-"/>
    <numFmt numFmtId="170" formatCode="_-* #,##0.0_-;\-* #,##0.0_-;_-* &quot;-&quot;??_-;_-@_-"/>
    <numFmt numFmtId="171" formatCode="_-* #,##0.00_-;\-* #,##0.00_-;_-* &quot;-&quot;??_-;_-@_-"/>
    <numFmt numFmtId="172" formatCode="[$$-C09]#,##0"/>
    <numFmt numFmtId="173" formatCode="#,##0_ ;\-#,##0\ "/>
    <numFmt numFmtId="174" formatCode="[$-409]d\-mmm\-yy;@"/>
    <numFmt numFmtId="175" formatCode="&quot;$&quot;#,##0.0_);\(&quot;$&quot;#,##0.0\)"/>
  </numFmts>
  <fonts count="9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5"/>
      <color indexed="56"/>
      <name val="Calibri"/>
      <family val="2"/>
      <scheme val="minor"/>
    </font>
    <font>
      <b/>
      <sz val="9"/>
      <color indexed="56"/>
      <name val="Calibri"/>
      <family val="2"/>
      <scheme val="minor"/>
    </font>
    <font>
      <b/>
      <sz val="12"/>
      <color indexed="9"/>
      <name val="Calibri"/>
      <family val="2"/>
      <scheme val="minor"/>
    </font>
    <font>
      <sz val="10"/>
      <color indexed="56"/>
      <name val="Calibri"/>
      <family val="2"/>
      <scheme val="minor"/>
    </font>
    <font>
      <b/>
      <sz val="11"/>
      <color indexed="56"/>
      <name val="Calibri"/>
      <family val="2"/>
      <scheme val="minor"/>
    </font>
    <font>
      <sz val="11"/>
      <color indexed="56"/>
      <name val="Calibri"/>
      <family val="2"/>
      <scheme val="minor"/>
    </font>
    <font>
      <b/>
      <sz val="10"/>
      <color indexed="56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9"/>
      <name val="Calibri"/>
      <family val="2"/>
      <scheme val="minor"/>
    </font>
    <font>
      <b/>
      <sz val="10"/>
      <color theme="0" tint="-0.34998626667073579"/>
      <name val="Calibri"/>
      <family val="2"/>
      <scheme val="minor"/>
    </font>
    <font>
      <sz val="10"/>
      <color theme="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0"/>
      <color theme="1"/>
      <name val="Arial"/>
      <family val="2"/>
    </font>
    <font>
      <u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0" tint="-0.14999847407452621"/>
      <name val="Calibri"/>
      <family val="2"/>
      <scheme val="minor"/>
    </font>
    <font>
      <b/>
      <sz val="10"/>
      <color theme="0" tint="-0.1499984740745262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sz val="10"/>
      <name val="Times New Roman"/>
      <family val="1"/>
    </font>
    <font>
      <sz val="11"/>
      <color theme="0" tint="-0.1499984740745262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56"/>
      <name val="Trebuchet MS"/>
      <family val="2"/>
    </font>
    <font>
      <sz val="9"/>
      <name val="Arial"/>
      <family val="2"/>
      <charset val="163"/>
    </font>
    <font>
      <b/>
      <sz val="11"/>
      <name val="Calibri"/>
      <family val="2"/>
      <scheme val="minor"/>
    </font>
    <font>
      <sz val="9"/>
      <color rgb="FF000000"/>
      <name val="Arial"/>
      <family val="2"/>
    </font>
    <font>
      <sz val="10"/>
      <color rgb="FF000000"/>
      <name val="Verdana"/>
      <family val="2"/>
    </font>
    <font>
      <u/>
      <sz val="11"/>
      <color theme="10"/>
      <name val="Calibri"/>
      <family val="2"/>
    </font>
    <font>
      <vertAlign val="superscript"/>
      <sz val="10"/>
      <color theme="1"/>
      <name val="Arial"/>
      <family val="2"/>
    </font>
    <font>
      <b/>
      <sz val="10"/>
      <color rgb="FF000000"/>
      <name val="맑은 고딕"/>
    </font>
    <font>
      <b/>
      <sz val="10"/>
      <color rgb="FF000000"/>
      <name val="Calibri"/>
      <family val="2"/>
    </font>
    <font>
      <b/>
      <sz val="10"/>
      <color rgb="FF000000"/>
      <name val="Verdana"/>
      <family val="2"/>
    </font>
    <font>
      <b/>
      <sz val="7"/>
      <color indexed="81"/>
      <name val="Tahoma"/>
      <family val="2"/>
    </font>
    <font>
      <sz val="7"/>
      <color indexed="81"/>
      <name val="Tahoma"/>
      <family val="2"/>
    </font>
    <font>
      <u/>
      <sz val="10"/>
      <color theme="10"/>
      <name val="Calibri"/>
      <family val="2"/>
    </font>
    <font>
      <sz val="10"/>
      <color rgb="FF000000"/>
      <name val="Calibri"/>
      <family val="2"/>
    </font>
    <font>
      <sz val="10"/>
      <color rgb="FF000000"/>
      <name val="맑은 고딕"/>
    </font>
    <font>
      <sz val="10"/>
      <color rgb="FF000000"/>
      <name val="Arial"/>
      <family val="2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5"/>
      <color indexed="56"/>
      <name val="Trebuchet MS"/>
      <family val="2"/>
    </font>
    <font>
      <sz val="10"/>
      <name val="Arial"/>
      <family val="2"/>
      <charset val="163"/>
    </font>
    <font>
      <b/>
      <sz val="12"/>
      <color indexed="9"/>
      <name val="Trebuchet MS"/>
      <family val="2"/>
    </font>
    <font>
      <sz val="10"/>
      <color indexed="56"/>
      <name val="Trebuchet MS"/>
      <family val="2"/>
    </font>
    <font>
      <b/>
      <sz val="15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b/>
      <sz val="10"/>
      <color theme="0" tint="-0.249977111117893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5"/>
      <name val="Arial"/>
      <family val="2"/>
      <charset val="163"/>
    </font>
    <font>
      <sz val="10"/>
      <color indexed="9"/>
      <name val="Calibri"/>
      <family val="2"/>
      <scheme val="minor"/>
    </font>
    <font>
      <sz val="10"/>
      <color indexed="8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7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7"/>
      <color rgb="FFFF0000"/>
      <name val="Times New Roman"/>
      <family val="1"/>
    </font>
    <font>
      <vertAlign val="superscript"/>
      <sz val="12"/>
      <color theme="1"/>
      <name val="Times New Roman"/>
      <family val="1"/>
    </font>
    <font>
      <u/>
      <sz val="11"/>
      <color theme="0"/>
      <name val="Calibri"/>
      <family val="2"/>
    </font>
    <font>
      <sz val="11"/>
      <name val="Calibri"/>
      <family val="2"/>
    </font>
    <font>
      <sz val="11"/>
      <color theme="10"/>
      <name val="Calibri"/>
      <family val="2"/>
    </font>
    <font>
      <sz val="10"/>
      <color rgb="FF2B2B2B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4"/>
      <color indexed="9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0" tint="-0.34998626667073579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6"/>
        <bgColor indexed="8"/>
      </patternFill>
    </fill>
    <fill>
      <patternFill patternType="solid">
        <fgColor indexed="9"/>
        <bgColor indexed="64"/>
      </patternFill>
    </fill>
    <fill>
      <patternFill patternType="solid">
        <fgColor theme="6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thin">
        <color indexed="56"/>
      </bottom>
      <diagonal/>
    </border>
    <border>
      <left/>
      <right/>
      <top style="thin">
        <color indexed="56"/>
      </top>
      <bottom style="thin">
        <color indexed="56"/>
      </bottom>
      <diagonal/>
    </border>
    <border>
      <left style="thin">
        <color indexed="30"/>
      </left>
      <right/>
      <top style="thin">
        <color indexed="30"/>
      </top>
      <bottom style="thin">
        <color indexed="30"/>
      </bottom>
      <diagonal/>
    </border>
    <border>
      <left/>
      <right/>
      <top style="thin">
        <color indexed="30"/>
      </top>
      <bottom style="thin">
        <color indexed="30"/>
      </bottom>
      <diagonal/>
    </border>
    <border>
      <left/>
      <right style="thin">
        <color indexed="30"/>
      </right>
      <top style="thin">
        <color indexed="30"/>
      </top>
      <bottom style="thin">
        <color indexed="3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56"/>
      </bottom>
      <diagonal/>
    </border>
    <border>
      <left style="thin">
        <color indexed="56"/>
      </left>
      <right/>
      <top/>
      <bottom/>
      <diagonal/>
    </border>
    <border>
      <left/>
      <right style="thin">
        <color indexed="56"/>
      </right>
      <top style="medium">
        <color indexed="56"/>
      </top>
      <bottom/>
      <diagonal/>
    </border>
    <border>
      <left/>
      <right style="thin">
        <color indexed="56"/>
      </right>
      <top/>
      <bottom/>
      <diagonal/>
    </border>
    <border>
      <left/>
      <right style="thin">
        <color indexed="56"/>
      </right>
      <top/>
      <bottom style="thin">
        <color indexed="56"/>
      </bottom>
      <diagonal/>
    </border>
    <border>
      <left style="thin">
        <color indexed="56"/>
      </left>
      <right/>
      <top style="thin">
        <color indexed="56"/>
      </top>
      <bottom style="thin">
        <color indexed="56"/>
      </bottom>
      <diagonal/>
    </border>
    <border>
      <left/>
      <right style="thin">
        <color indexed="56"/>
      </right>
      <top style="thin">
        <color indexed="56"/>
      </top>
      <bottom style="thin">
        <color indexed="56"/>
      </bottom>
      <diagonal/>
    </border>
    <border>
      <left style="thin">
        <color indexed="56"/>
      </left>
      <right/>
      <top style="medium">
        <color indexed="56"/>
      </top>
      <bottom/>
      <diagonal/>
    </border>
    <border>
      <left style="thin">
        <color indexed="56"/>
      </left>
      <right/>
      <top/>
      <bottom style="thin">
        <color indexed="56"/>
      </bottom>
      <diagonal/>
    </border>
    <border>
      <left/>
      <right/>
      <top style="thin">
        <color indexed="56"/>
      </top>
      <bottom/>
      <diagonal/>
    </border>
    <border>
      <left style="thin">
        <color indexed="64"/>
      </left>
      <right/>
      <top style="thin">
        <color indexed="56"/>
      </top>
      <bottom style="thin">
        <color indexed="64"/>
      </bottom>
      <diagonal/>
    </border>
    <border>
      <left style="thin">
        <color indexed="64"/>
      </left>
      <right/>
      <top style="thin">
        <color indexed="56"/>
      </top>
      <bottom/>
      <diagonal/>
    </border>
    <border>
      <left/>
      <right/>
      <top style="thin">
        <color indexed="56"/>
      </top>
      <bottom style="thin">
        <color indexed="64"/>
      </bottom>
      <diagonal/>
    </border>
    <border>
      <left/>
      <right style="thin">
        <color indexed="64"/>
      </right>
      <top style="thin">
        <color indexed="56"/>
      </top>
      <bottom style="thin">
        <color indexed="64"/>
      </bottom>
      <diagonal/>
    </border>
    <border>
      <left/>
      <right style="thin">
        <color indexed="64"/>
      </right>
      <top style="thin">
        <color indexed="56"/>
      </top>
      <bottom/>
      <diagonal/>
    </border>
    <border>
      <left/>
      <right style="thin">
        <color indexed="64"/>
      </right>
      <top/>
      <bottom style="thin">
        <color indexed="56"/>
      </bottom>
      <diagonal/>
    </border>
    <border>
      <left style="thin">
        <color indexed="56"/>
      </left>
      <right/>
      <top style="thin">
        <color indexed="56"/>
      </top>
      <bottom style="medium">
        <color indexed="56"/>
      </bottom>
      <diagonal/>
    </border>
    <border>
      <left/>
      <right/>
      <top style="thin">
        <color indexed="56"/>
      </top>
      <bottom style="medium">
        <color indexed="56"/>
      </bottom>
      <diagonal/>
    </border>
    <border>
      <left/>
      <right style="thin">
        <color indexed="56"/>
      </right>
      <top style="thin">
        <color indexed="56"/>
      </top>
      <bottom style="medium">
        <color indexed="56"/>
      </bottom>
      <diagonal/>
    </border>
    <border>
      <left style="thin">
        <color indexed="56"/>
      </left>
      <right style="thin">
        <color indexed="56"/>
      </right>
      <top/>
      <bottom/>
      <diagonal/>
    </border>
    <border>
      <left style="thin">
        <color indexed="56"/>
      </left>
      <right style="thin">
        <color indexed="56"/>
      </right>
      <top style="thin">
        <color indexed="56"/>
      </top>
      <bottom style="thin">
        <color indexed="56"/>
      </bottom>
      <diagonal/>
    </border>
    <border>
      <left style="thin">
        <color indexed="56"/>
      </left>
      <right style="thin">
        <color indexed="56"/>
      </right>
      <top style="medium">
        <color indexed="56"/>
      </top>
      <bottom/>
      <diagonal/>
    </border>
    <border>
      <left style="thin">
        <color indexed="56"/>
      </left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56"/>
      </left>
      <right style="thin">
        <color indexed="56"/>
      </right>
      <top style="thin">
        <color indexed="56"/>
      </top>
      <bottom style="double">
        <color indexed="56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2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91" fillId="0" borderId="0"/>
  </cellStyleXfs>
  <cellXfs count="927">
    <xf numFmtId="0" fontId="0" fillId="0" borderId="0" xfId="0"/>
    <xf numFmtId="0" fontId="3" fillId="2" borderId="0" xfId="0" applyFont="1" applyFill="1" applyAlignment="1">
      <alignment horizontal="left"/>
    </xf>
    <xf numFmtId="0" fontId="2" fillId="2" borderId="0" xfId="0" applyFont="1" applyFill="1"/>
    <xf numFmtId="0" fontId="4" fillId="2" borderId="0" xfId="0" applyFont="1" applyFill="1" applyAlignment="1">
      <alignment horizontal="left"/>
    </xf>
    <xf numFmtId="0" fontId="6" fillId="2" borderId="0" xfId="0" applyFont="1" applyFill="1"/>
    <xf numFmtId="0" fontId="7" fillId="2" borderId="1" xfId="0" applyFont="1" applyFill="1" applyBorder="1" applyAlignment="1">
      <alignment horizontal="left"/>
    </xf>
    <xf numFmtId="0" fontId="7" fillId="2" borderId="1" xfId="0" applyFont="1" applyFill="1" applyBorder="1"/>
    <xf numFmtId="0" fontId="7" fillId="2" borderId="2" xfId="0" applyFont="1" applyFill="1" applyBorder="1" applyAlignment="1">
      <alignment horizontal="left"/>
    </xf>
    <xf numFmtId="0" fontId="7" fillId="2" borderId="2" xfId="0" applyFont="1" applyFill="1" applyBorder="1"/>
    <xf numFmtId="0" fontId="2" fillId="2" borderId="0" xfId="0" applyFont="1" applyFill="1" applyAlignment="1">
      <alignment horizontal="left"/>
    </xf>
    <xf numFmtId="0" fontId="8" fillId="2" borderId="0" xfId="0" applyFont="1" applyFill="1" applyBorder="1"/>
    <xf numFmtId="0" fontId="9" fillId="2" borderId="0" xfId="0" applyFont="1" applyFill="1" applyBorder="1"/>
    <xf numFmtId="0" fontId="2" fillId="2" borderId="0" xfId="0" applyFont="1" applyFill="1" applyBorder="1"/>
    <xf numFmtId="0" fontId="6" fillId="2" borderId="1" xfId="0" applyFont="1" applyFill="1" applyBorder="1" applyAlignment="1">
      <alignment horizontal="left"/>
    </xf>
    <xf numFmtId="0" fontId="6" fillId="2" borderId="1" xfId="0" applyFont="1" applyFill="1" applyBorder="1"/>
    <xf numFmtId="0" fontId="6" fillId="2" borderId="2" xfId="0" applyFont="1" applyFill="1" applyBorder="1" applyAlignment="1">
      <alignment horizontal="left"/>
    </xf>
    <xf numFmtId="0" fontId="6" fillId="2" borderId="2" xfId="0" applyFont="1" applyFill="1" applyBorder="1"/>
    <xf numFmtId="0" fontId="5" fillId="3" borderId="0" xfId="0" applyFont="1" applyFill="1" applyAlignment="1">
      <alignment horizontal="left"/>
    </xf>
    <xf numFmtId="0" fontId="6" fillId="3" borderId="0" xfId="0" applyFont="1" applyFill="1"/>
    <xf numFmtId="0" fontId="5" fillId="3" borderId="0" xfId="0" applyFont="1" applyFill="1" applyAlignment="1">
      <alignment horizontal="right"/>
    </xf>
    <xf numFmtId="0" fontId="0" fillId="2" borderId="0" xfId="0" applyFill="1"/>
    <xf numFmtId="0" fontId="0" fillId="2" borderId="0" xfId="0" applyFill="1" applyAlignment="1">
      <alignment horizontal="right"/>
    </xf>
    <xf numFmtId="17" fontId="0" fillId="2" borderId="0" xfId="0" applyNumberFormat="1" applyFill="1"/>
    <xf numFmtId="0" fontId="10" fillId="2" borderId="0" xfId="0" applyFont="1" applyFill="1"/>
    <xf numFmtId="0" fontId="9" fillId="2" borderId="0" xfId="0" applyFont="1" applyFill="1" applyAlignment="1">
      <alignment horizontal="left"/>
    </xf>
    <xf numFmtId="0" fontId="11" fillId="2" borderId="0" xfId="0" applyFont="1" applyFill="1"/>
    <xf numFmtId="0" fontId="12" fillId="2" borderId="0" xfId="0" applyFont="1" applyFill="1"/>
    <xf numFmtId="0" fontId="13" fillId="3" borderId="0" xfId="0" applyFont="1" applyFill="1" applyAlignment="1">
      <alignment horizontal="left"/>
    </xf>
    <xf numFmtId="0" fontId="14" fillId="3" borderId="0" xfId="0" applyFont="1" applyFill="1" applyAlignment="1">
      <alignment horizontal="left"/>
    </xf>
    <xf numFmtId="0" fontId="11" fillId="5" borderId="0" xfId="0" applyFont="1" applyFill="1"/>
    <xf numFmtId="0" fontId="10" fillId="5" borderId="0" xfId="0" applyFont="1" applyFill="1"/>
    <xf numFmtId="17" fontId="11" fillId="5" borderId="0" xfId="0" applyNumberFormat="1" applyFont="1" applyFill="1"/>
    <xf numFmtId="165" fontId="11" fillId="2" borderId="0" xfId="1" applyNumberFormat="1" applyFont="1" applyFill="1"/>
    <xf numFmtId="165" fontId="12" fillId="2" borderId="0" xfId="1" applyNumberFormat="1" applyFont="1" applyFill="1"/>
    <xf numFmtId="165" fontId="11" fillId="2" borderId="6" xfId="1" applyNumberFormat="1" applyFont="1" applyFill="1" applyBorder="1"/>
    <xf numFmtId="165" fontId="12" fillId="2" borderId="6" xfId="1" applyNumberFormat="1" applyFont="1" applyFill="1" applyBorder="1"/>
    <xf numFmtId="9" fontId="10" fillId="2" borderId="0" xfId="2" applyFont="1" applyFill="1"/>
    <xf numFmtId="165" fontId="14" fillId="2" borderId="0" xfId="1" applyNumberFormat="1" applyFont="1" applyFill="1"/>
    <xf numFmtId="0" fontId="13" fillId="3" borderId="7" xfId="0" applyFont="1" applyFill="1" applyBorder="1" applyAlignment="1">
      <alignment horizontal="left"/>
    </xf>
    <xf numFmtId="0" fontId="13" fillId="3" borderId="8" xfId="0" applyFont="1" applyFill="1" applyBorder="1" applyAlignment="1">
      <alignment horizontal="left"/>
    </xf>
    <xf numFmtId="0" fontId="14" fillId="3" borderId="8" xfId="0" applyFont="1" applyFill="1" applyBorder="1" applyAlignment="1">
      <alignment horizontal="left"/>
    </xf>
    <xf numFmtId="0" fontId="13" fillId="3" borderId="9" xfId="0" applyFont="1" applyFill="1" applyBorder="1" applyAlignment="1">
      <alignment horizontal="left"/>
    </xf>
    <xf numFmtId="0" fontId="11" fillId="5" borderId="10" xfId="0" applyFont="1" applyFill="1" applyBorder="1"/>
    <xf numFmtId="0" fontId="11" fillId="5" borderId="0" xfId="0" applyFont="1" applyFill="1" applyBorder="1"/>
    <xf numFmtId="0" fontId="10" fillId="5" borderId="0" xfId="0" applyFont="1" applyFill="1" applyBorder="1"/>
    <xf numFmtId="17" fontId="11" fillId="5" borderId="0" xfId="0" applyNumberFormat="1" applyFont="1" applyFill="1" applyBorder="1"/>
    <xf numFmtId="17" fontId="12" fillId="5" borderId="11" xfId="0" applyNumberFormat="1" applyFont="1" applyFill="1" applyBorder="1"/>
    <xf numFmtId="0" fontId="11" fillId="2" borderId="10" xfId="0" applyFont="1" applyFill="1" applyBorder="1"/>
    <xf numFmtId="0" fontId="11" fillId="2" borderId="0" xfId="0" applyFont="1" applyFill="1" applyBorder="1"/>
    <xf numFmtId="0" fontId="10" fillId="2" borderId="0" xfId="0" applyFont="1" applyFill="1" applyBorder="1"/>
    <xf numFmtId="0" fontId="12" fillId="2" borderId="11" xfId="0" applyFont="1" applyFill="1" applyBorder="1"/>
    <xf numFmtId="165" fontId="11" fillId="2" borderId="0" xfId="1" applyNumberFormat="1" applyFont="1" applyFill="1" applyBorder="1"/>
    <xf numFmtId="165" fontId="12" fillId="2" borderId="11" xfId="1" applyNumberFormat="1" applyFont="1" applyFill="1" applyBorder="1"/>
    <xf numFmtId="165" fontId="12" fillId="2" borderId="12" xfId="1" applyNumberFormat="1" applyFont="1" applyFill="1" applyBorder="1"/>
    <xf numFmtId="0" fontId="13" fillId="3" borderId="10" xfId="0" applyFont="1" applyFill="1" applyBorder="1" applyAlignment="1">
      <alignment horizontal="left"/>
    </xf>
    <xf numFmtId="0" fontId="13" fillId="3" borderId="0" xfId="0" applyFont="1" applyFill="1" applyBorder="1" applyAlignment="1">
      <alignment horizontal="left"/>
    </xf>
    <xf numFmtId="0" fontId="14" fillId="3" borderId="0" xfId="0" applyFont="1" applyFill="1" applyBorder="1" applyAlignment="1">
      <alignment horizontal="left"/>
    </xf>
    <xf numFmtId="0" fontId="13" fillId="3" borderId="11" xfId="0" applyFont="1" applyFill="1" applyBorder="1" applyAlignment="1">
      <alignment horizontal="left"/>
    </xf>
    <xf numFmtId="164" fontId="11" fillId="2" borderId="0" xfId="1" applyNumberFormat="1" applyFont="1" applyFill="1" applyBorder="1"/>
    <xf numFmtId="164" fontId="12" fillId="2" borderId="11" xfId="1" applyNumberFormat="1" applyFont="1" applyFill="1" applyBorder="1"/>
    <xf numFmtId="0" fontId="11" fillId="2" borderId="13" xfId="0" applyFont="1" applyFill="1" applyBorder="1"/>
    <xf numFmtId="0" fontId="11" fillId="2" borderId="6" xfId="0" applyFont="1" applyFill="1" applyBorder="1"/>
    <xf numFmtId="0" fontId="10" fillId="2" borderId="6" xfId="0" applyFont="1" applyFill="1" applyBorder="1"/>
    <xf numFmtId="17" fontId="12" fillId="5" borderId="11" xfId="0" applyNumberFormat="1" applyFont="1" applyFill="1" applyBorder="1" applyAlignment="1">
      <alignment horizontal="right"/>
    </xf>
    <xf numFmtId="17" fontId="12" fillId="5" borderId="0" xfId="0" applyNumberFormat="1" applyFont="1" applyFill="1" applyAlignment="1">
      <alignment horizontal="right"/>
    </xf>
    <xf numFmtId="42" fontId="11" fillId="2" borderId="0" xfId="1" applyNumberFormat="1" applyFont="1" applyFill="1" applyBorder="1"/>
    <xf numFmtId="0" fontId="14" fillId="3" borderId="9" xfId="0" applyFont="1" applyFill="1" applyBorder="1" applyAlignment="1">
      <alignment horizontal="left"/>
    </xf>
    <xf numFmtId="17" fontId="11" fillId="5" borderId="0" xfId="0" applyNumberFormat="1" applyFont="1" applyFill="1" applyBorder="1" applyAlignment="1">
      <alignment horizontal="right"/>
    </xf>
    <xf numFmtId="17" fontId="11" fillId="5" borderId="11" xfId="0" applyNumberFormat="1" applyFont="1" applyFill="1" applyBorder="1" applyAlignment="1">
      <alignment horizontal="right"/>
    </xf>
    <xf numFmtId="164" fontId="11" fillId="2" borderId="11" xfId="1" applyNumberFormat="1" applyFont="1" applyFill="1" applyBorder="1"/>
    <xf numFmtId="164" fontId="11" fillId="6" borderId="0" xfId="1" applyNumberFormat="1" applyFont="1" applyFill="1" applyBorder="1"/>
    <xf numFmtId="0" fontId="11" fillId="2" borderId="12" xfId="0" applyFont="1" applyFill="1" applyBorder="1"/>
    <xf numFmtId="164" fontId="11" fillId="2" borderId="0" xfId="1" applyNumberFormat="1" applyFont="1" applyFill="1"/>
    <xf numFmtId="0" fontId="15" fillId="3" borderId="0" xfId="0" applyFont="1" applyFill="1"/>
    <xf numFmtId="0" fontId="15" fillId="3" borderId="0" xfId="0" applyFont="1" applyFill="1" applyAlignment="1">
      <alignment horizontal="right"/>
    </xf>
    <xf numFmtId="0" fontId="16" fillId="2" borderId="0" xfId="0" applyFont="1" applyFill="1"/>
    <xf numFmtId="0" fontId="17" fillId="2" borderId="0" xfId="0" applyFont="1" applyFill="1"/>
    <xf numFmtId="165" fontId="17" fillId="2" borderId="0" xfId="1" applyNumberFormat="1" applyFont="1" applyFill="1" applyAlignment="1">
      <alignment horizontal="right"/>
    </xf>
    <xf numFmtId="165" fontId="17" fillId="2" borderId="0" xfId="1" applyNumberFormat="1" applyFont="1" applyFill="1"/>
    <xf numFmtId="164" fontId="17" fillId="2" borderId="0" xfId="1" applyNumberFormat="1" applyFont="1" applyFill="1"/>
    <xf numFmtId="164" fontId="16" fillId="2" borderId="14" xfId="1" applyNumberFormat="1" applyFont="1" applyFill="1" applyBorder="1"/>
    <xf numFmtId="0" fontId="11" fillId="5" borderId="0" xfId="0" applyFont="1" applyFill="1" applyAlignment="1">
      <alignment horizontal="right"/>
    </xf>
    <xf numFmtId="0" fontId="12" fillId="5" borderId="0" xfId="0" applyFont="1" applyFill="1" applyAlignment="1">
      <alignment horizontal="left"/>
    </xf>
    <xf numFmtId="165" fontId="17" fillId="2" borderId="6" xfId="1" applyNumberFormat="1" applyFont="1" applyFill="1" applyBorder="1"/>
    <xf numFmtId="165" fontId="16" fillId="2" borderId="0" xfId="1" applyNumberFormat="1" applyFont="1" applyFill="1"/>
    <xf numFmtId="165" fontId="17" fillId="2" borderId="0" xfId="0" applyNumberFormat="1" applyFont="1" applyFill="1"/>
    <xf numFmtId="9" fontId="17" fillId="2" borderId="0" xfId="2" applyFont="1" applyFill="1"/>
    <xf numFmtId="0" fontId="18" fillId="2" borderId="0" xfId="0" applyFont="1" applyFill="1"/>
    <xf numFmtId="166" fontId="17" fillId="2" borderId="0" xfId="2" applyNumberFormat="1" applyFont="1" applyFill="1" applyAlignment="1">
      <alignment horizontal="right"/>
    </xf>
    <xf numFmtId="165" fontId="10" fillId="2" borderId="0" xfId="1" applyNumberFormat="1" applyFont="1" applyFill="1" applyBorder="1"/>
    <xf numFmtId="9" fontId="10" fillId="2" borderId="0" xfId="2" applyFont="1" applyFill="1" applyBorder="1"/>
    <xf numFmtId="166" fontId="10" fillId="2" borderId="0" xfId="2" applyNumberFormat="1" applyFont="1" applyFill="1" applyBorder="1"/>
    <xf numFmtId="0" fontId="10" fillId="2" borderId="10" xfId="0" applyFont="1" applyFill="1" applyBorder="1"/>
    <xf numFmtId="165" fontId="14" fillId="2" borderId="11" xfId="1" applyNumberFormat="1" applyFont="1" applyFill="1" applyBorder="1"/>
    <xf numFmtId="166" fontId="10" fillId="2" borderId="6" xfId="0" applyNumberFormat="1" applyFont="1" applyFill="1" applyBorder="1"/>
    <xf numFmtId="166" fontId="16" fillId="2" borderId="0" xfId="0" applyNumberFormat="1" applyFont="1" applyFill="1"/>
    <xf numFmtId="165" fontId="17" fillId="6" borderId="0" xfId="1" applyNumberFormat="1" applyFont="1" applyFill="1" applyAlignment="1">
      <alignment horizontal="right"/>
    </xf>
    <xf numFmtId="166" fontId="17" fillId="6" borderId="0" xfId="2" applyNumberFormat="1" applyFont="1" applyFill="1" applyAlignment="1">
      <alignment horizontal="right"/>
    </xf>
    <xf numFmtId="0" fontId="19" fillId="2" borderId="10" xfId="0" applyFont="1" applyFill="1" applyBorder="1"/>
    <xf numFmtId="9" fontId="10" fillId="6" borderId="0" xfId="0" applyNumberFormat="1" applyFont="1" applyFill="1" applyBorder="1"/>
    <xf numFmtId="166" fontId="10" fillId="6" borderId="0" xfId="2" applyNumberFormat="1" applyFont="1" applyFill="1" applyBorder="1"/>
    <xf numFmtId="164" fontId="11" fillId="6" borderId="6" xfId="1" applyNumberFormat="1" applyFont="1" applyFill="1" applyBorder="1"/>
    <xf numFmtId="164" fontId="11" fillId="2" borderId="6" xfId="1" applyNumberFormat="1" applyFont="1" applyFill="1" applyBorder="1"/>
    <xf numFmtId="164" fontId="11" fillId="2" borderId="12" xfId="1" applyNumberFormat="1" applyFont="1" applyFill="1" applyBorder="1"/>
    <xf numFmtId="164" fontId="11" fillId="6" borderId="0" xfId="1" applyNumberFormat="1" applyFont="1" applyFill="1" applyBorder="1" applyAlignment="1">
      <alignment horizontal="right"/>
    </xf>
    <xf numFmtId="164" fontId="10" fillId="2" borderId="0" xfId="1" applyNumberFormat="1" applyFont="1" applyFill="1" applyBorder="1"/>
    <xf numFmtId="17" fontId="11" fillId="5" borderId="0" xfId="0" applyNumberFormat="1" applyFont="1" applyFill="1" applyAlignment="1">
      <alignment horizontal="right"/>
    </xf>
    <xf numFmtId="167" fontId="11" fillId="2" borderId="0" xfId="0" applyNumberFormat="1" applyFont="1" applyFill="1"/>
    <xf numFmtId="43" fontId="11" fillId="2" borderId="0" xfId="1" applyFont="1" applyFill="1"/>
    <xf numFmtId="166" fontId="11" fillId="2" borderId="6" xfId="2" applyNumberFormat="1" applyFont="1" applyFill="1" applyBorder="1"/>
    <xf numFmtId="166" fontId="11" fillId="2" borderId="0" xfId="2" applyNumberFormat="1" applyFont="1" applyFill="1" applyBorder="1"/>
    <xf numFmtId="0" fontId="20" fillId="2" borderId="0" xfId="0" applyFont="1" applyFill="1"/>
    <xf numFmtId="43" fontId="20" fillId="2" borderId="0" xfId="1" applyFont="1" applyFill="1"/>
    <xf numFmtId="166" fontId="20" fillId="2" borderId="0" xfId="2" applyNumberFormat="1" applyFont="1" applyFill="1"/>
    <xf numFmtId="164" fontId="11" fillId="2" borderId="0" xfId="2" applyNumberFormat="1" applyFont="1" applyFill="1"/>
    <xf numFmtId="9" fontId="11" fillId="2" borderId="0" xfId="0" applyNumberFormat="1" applyFont="1" applyFill="1"/>
    <xf numFmtId="164" fontId="11" fillId="2" borderId="0" xfId="0" applyNumberFormat="1" applyFont="1" applyFill="1"/>
    <xf numFmtId="0" fontId="21" fillId="3" borderId="0" xfId="0" applyFont="1" applyFill="1" applyAlignment="1">
      <alignment horizontal="left"/>
    </xf>
    <xf numFmtId="0" fontId="20" fillId="5" borderId="0" xfId="0" applyFont="1" applyFill="1"/>
    <xf numFmtId="0" fontId="21" fillId="2" borderId="0" xfId="0" applyFont="1" applyFill="1"/>
    <xf numFmtId="0" fontId="22" fillId="2" borderId="0" xfId="0" applyFont="1" applyFill="1"/>
    <xf numFmtId="165" fontId="22" fillId="2" borderId="0" xfId="1" applyNumberFormat="1" applyFont="1" applyFill="1"/>
    <xf numFmtId="165" fontId="11" fillId="2" borderId="0" xfId="0" applyNumberFormat="1" applyFont="1" applyFill="1"/>
    <xf numFmtId="9" fontId="11" fillId="6" borderId="0" xfId="2" applyFont="1" applyFill="1"/>
    <xf numFmtId="9" fontId="14" fillId="2" borderId="6" xfId="0" applyNumberFormat="1" applyFont="1" applyFill="1" applyBorder="1"/>
    <xf numFmtId="0" fontId="6" fillId="2" borderId="2" xfId="0" applyFont="1" applyFill="1" applyBorder="1" applyAlignment="1">
      <alignment horizontal="center"/>
    </xf>
    <xf numFmtId="17" fontId="25" fillId="5" borderId="0" xfId="0" applyNumberFormat="1" applyFont="1" applyFill="1" applyBorder="1" applyAlignment="1">
      <alignment horizontal="right"/>
    </xf>
    <xf numFmtId="17" fontId="25" fillId="5" borderId="11" xfId="0" applyNumberFormat="1" applyFont="1" applyFill="1" applyBorder="1" applyAlignment="1">
      <alignment horizontal="right"/>
    </xf>
    <xf numFmtId="0" fontId="27" fillId="2" borderId="0" xfId="0" applyFont="1" applyFill="1"/>
    <xf numFmtId="0" fontId="26" fillId="2" borderId="0" xfId="0" applyFont="1" applyFill="1"/>
    <xf numFmtId="0" fontId="28" fillId="2" borderId="0" xfId="0" applyFont="1" applyFill="1" applyAlignment="1">
      <alignment horizontal="left"/>
    </xf>
    <xf numFmtId="0" fontId="28" fillId="3" borderId="0" xfId="0" applyFont="1" applyFill="1" applyAlignment="1">
      <alignment horizontal="left"/>
    </xf>
    <xf numFmtId="0" fontId="0" fillId="5" borderId="0" xfId="0" applyFill="1"/>
    <xf numFmtId="17" fontId="0" fillId="5" borderId="0" xfId="0" applyNumberFormat="1" applyFill="1"/>
    <xf numFmtId="17" fontId="26" fillId="5" borderId="0" xfId="0" applyNumberFormat="1" applyFont="1" applyFill="1"/>
    <xf numFmtId="0" fontId="29" fillId="2" borderId="0" xfId="0" applyFont="1" applyFill="1"/>
    <xf numFmtId="0" fontId="0" fillId="2" borderId="0" xfId="0" applyFont="1" applyFill="1"/>
    <xf numFmtId="0" fontId="0" fillId="2" borderId="0" xfId="0" applyFill="1" applyAlignment="1">
      <alignment horizontal="left" indent="1"/>
    </xf>
    <xf numFmtId="0" fontId="0" fillId="2" borderId="6" xfId="0" applyFill="1" applyBorder="1"/>
    <xf numFmtId="0" fontId="27" fillId="2" borderId="6" xfId="0" applyFont="1" applyFill="1" applyBorder="1"/>
    <xf numFmtId="0" fontId="30" fillId="2" borderId="0" xfId="0" applyFont="1" applyFill="1" applyBorder="1" applyAlignment="1">
      <alignment horizontal="left" indent="3"/>
    </xf>
    <xf numFmtId="42" fontId="0" fillId="0" borderId="0" xfId="0" applyNumberFormat="1"/>
    <xf numFmtId="42" fontId="27" fillId="0" borderId="0" xfId="0" applyNumberFormat="1" applyFont="1"/>
    <xf numFmtId="0" fontId="31" fillId="0" borderId="0" xfId="0" applyFont="1"/>
    <xf numFmtId="0" fontId="27" fillId="0" borderId="0" xfId="0" applyFont="1"/>
    <xf numFmtId="0" fontId="5" fillId="3" borderId="7" xfId="0" applyFont="1" applyFill="1" applyBorder="1" applyAlignment="1">
      <alignment horizontal="left"/>
    </xf>
    <xf numFmtId="0" fontId="5" fillId="3" borderId="8" xfId="0" applyFont="1" applyFill="1" applyBorder="1" applyAlignment="1">
      <alignment horizontal="left"/>
    </xf>
    <xf numFmtId="0" fontId="0" fillId="5" borderId="10" xfId="0" applyFill="1" applyBorder="1"/>
    <xf numFmtId="0" fontId="0" fillId="5" borderId="0" xfId="0" applyFill="1" applyBorder="1"/>
    <xf numFmtId="0" fontId="0" fillId="5" borderId="0" xfId="0" applyFill="1" applyBorder="1" applyAlignment="1">
      <alignment horizontal="right"/>
    </xf>
    <xf numFmtId="0" fontId="0" fillId="2" borderId="10" xfId="0" applyFill="1" applyBorder="1"/>
    <xf numFmtId="0" fontId="0" fillId="2" borderId="0" xfId="0" applyFill="1" applyBorder="1"/>
    <xf numFmtId="168" fontId="34" fillId="2" borderId="0" xfId="4" applyNumberFormat="1" applyFont="1" applyFill="1" applyBorder="1"/>
    <xf numFmtId="168" fontId="34" fillId="2" borderId="11" xfId="4" applyNumberFormat="1" applyFont="1" applyFill="1" applyBorder="1"/>
    <xf numFmtId="0" fontId="26" fillId="2" borderId="0" xfId="0" applyFont="1" applyFill="1" applyBorder="1"/>
    <xf numFmtId="165" fontId="0" fillId="2" borderId="0" xfId="1" applyNumberFormat="1" applyFont="1" applyFill="1" applyBorder="1"/>
    <xf numFmtId="165" fontId="0" fillId="2" borderId="6" xfId="1" applyNumberFormat="1" applyFont="1" applyFill="1" applyBorder="1"/>
    <xf numFmtId="0" fontId="28" fillId="3" borderId="8" xfId="0" applyFont="1" applyFill="1" applyBorder="1" applyAlignment="1">
      <alignment horizontal="left"/>
    </xf>
    <xf numFmtId="0" fontId="35" fillId="2" borderId="0" xfId="0" applyFont="1" applyFill="1"/>
    <xf numFmtId="0" fontId="34" fillId="5" borderId="0" xfId="0" applyFont="1" applyFill="1" applyBorder="1"/>
    <xf numFmtId="0" fontId="27" fillId="2" borderId="16" xfId="0" applyFont="1" applyFill="1" applyBorder="1"/>
    <xf numFmtId="0" fontId="0" fillId="2" borderId="18" xfId="0" applyFill="1" applyBorder="1"/>
    <xf numFmtId="168" fontId="0" fillId="2" borderId="0" xfId="4" applyNumberFormat="1" applyFont="1" applyFill="1" applyBorder="1"/>
    <xf numFmtId="0" fontId="27" fillId="2" borderId="0" xfId="0" applyFont="1" applyFill="1" applyBorder="1"/>
    <xf numFmtId="0" fontId="26" fillId="2" borderId="19" xfId="0" applyFont="1" applyFill="1" applyBorder="1"/>
    <xf numFmtId="0" fontId="26" fillId="2" borderId="16" xfId="0" applyFont="1" applyFill="1" applyBorder="1"/>
    <xf numFmtId="168" fontId="26" fillId="2" borderId="16" xfId="4" applyNumberFormat="1" applyFont="1" applyFill="1" applyBorder="1"/>
    <xf numFmtId="168" fontId="26" fillId="2" borderId="17" xfId="4" applyNumberFormat="1" applyFont="1" applyFill="1" applyBorder="1"/>
    <xf numFmtId="0" fontId="0" fillId="2" borderId="8" xfId="0" applyFill="1" applyBorder="1"/>
    <xf numFmtId="168" fontId="0" fillId="2" borderId="8" xfId="0" applyNumberFormat="1" applyFill="1" applyBorder="1"/>
    <xf numFmtId="168" fontId="0" fillId="2" borderId="10" xfId="4" applyNumberFormat="1" applyFont="1" applyFill="1" applyBorder="1"/>
    <xf numFmtId="168" fontId="0" fillId="2" borderId="0" xfId="0" applyNumberFormat="1" applyFill="1" applyBorder="1"/>
    <xf numFmtId="168" fontId="0" fillId="2" borderId="6" xfId="4" applyNumberFormat="1" applyFont="1" applyFill="1" applyBorder="1"/>
    <xf numFmtId="168" fontId="0" fillId="2" borderId="6" xfId="0" applyNumberFormat="1" applyFill="1" applyBorder="1"/>
    <xf numFmtId="0" fontId="0" fillId="6" borderId="6" xfId="0" applyFill="1" applyBorder="1"/>
    <xf numFmtId="168" fontId="0" fillId="2" borderId="12" xfId="4" applyNumberFormat="1" applyFont="1" applyFill="1" applyBorder="1"/>
    <xf numFmtId="168" fontId="0" fillId="2" borderId="11" xfId="4" applyNumberFormat="1" applyFont="1" applyFill="1" applyBorder="1"/>
    <xf numFmtId="0" fontId="0" fillId="2" borderId="21" xfId="0" applyFill="1" applyBorder="1"/>
    <xf numFmtId="0" fontId="36" fillId="2" borderId="0" xfId="0" applyFont="1" applyFill="1" applyAlignment="1">
      <alignment horizontal="left"/>
    </xf>
    <xf numFmtId="0" fontId="5" fillId="2" borderId="0" xfId="0" applyFont="1" applyFill="1" applyAlignment="1">
      <alignment horizontal="left"/>
    </xf>
    <xf numFmtId="9" fontId="1" fillId="2" borderId="0" xfId="2" applyFont="1" applyFill="1"/>
    <xf numFmtId="0" fontId="34" fillId="5" borderId="11" xfId="0" applyFont="1" applyFill="1" applyBorder="1" applyAlignment="1">
      <alignment horizontal="right"/>
    </xf>
    <xf numFmtId="165" fontId="34" fillId="2" borderId="0" xfId="0" applyNumberFormat="1" applyFont="1" applyFill="1" applyBorder="1"/>
    <xf numFmtId="0" fontId="0" fillId="2" borderId="13" xfId="0" applyFill="1" applyBorder="1"/>
    <xf numFmtId="0" fontId="28" fillId="2" borderId="16" xfId="0" applyFont="1" applyFill="1" applyBorder="1"/>
    <xf numFmtId="0" fontId="35" fillId="2" borderId="0" xfId="0" applyFont="1" applyFill="1" applyBorder="1"/>
    <xf numFmtId="0" fontId="10" fillId="2" borderId="8" xfId="0" applyFont="1" applyFill="1" applyBorder="1"/>
    <xf numFmtId="168" fontId="27" fillId="2" borderId="0" xfId="0" applyNumberFormat="1" applyFont="1" applyFill="1"/>
    <xf numFmtId="0" fontId="35" fillId="0" borderId="0" xfId="0" applyFont="1"/>
    <xf numFmtId="0" fontId="0" fillId="2" borderId="7" xfId="0" applyFill="1" applyBorder="1"/>
    <xf numFmtId="0" fontId="0" fillId="2" borderId="10" xfId="4" applyNumberFormat="1" applyFont="1" applyFill="1" applyBorder="1"/>
    <xf numFmtId="0" fontId="0" fillId="2" borderId="0" xfId="4" applyNumberFormat="1" applyFont="1" applyFill="1" applyBorder="1"/>
    <xf numFmtId="0" fontId="0" fillId="2" borderId="11" xfId="4" applyNumberFormat="1" applyFont="1" applyFill="1" applyBorder="1"/>
    <xf numFmtId="0" fontId="0" fillId="2" borderId="7" xfId="4" applyNumberFormat="1" applyFont="1" applyFill="1" applyBorder="1"/>
    <xf numFmtId="0" fontId="0" fillId="2" borderId="8" xfId="4" applyNumberFormat="1" applyFont="1" applyFill="1" applyBorder="1"/>
    <xf numFmtId="0" fontId="0" fillId="2" borderId="9" xfId="4" applyNumberFormat="1" applyFont="1" applyFill="1" applyBorder="1"/>
    <xf numFmtId="0" fontId="0" fillId="2" borderId="0" xfId="4" applyNumberFormat="1" applyFont="1" applyFill="1"/>
    <xf numFmtId="42" fontId="27" fillId="2" borderId="0" xfId="0" applyNumberFormat="1" applyFont="1" applyFill="1"/>
    <xf numFmtId="0" fontId="0" fillId="6" borderId="0" xfId="4" applyNumberFormat="1" applyFont="1" applyFill="1" applyBorder="1"/>
    <xf numFmtId="0" fontId="10" fillId="2" borderId="20" xfId="0" applyFont="1" applyFill="1" applyBorder="1"/>
    <xf numFmtId="0" fontId="10" fillId="2" borderId="18" xfId="0" applyFont="1" applyFill="1" applyBorder="1"/>
    <xf numFmtId="168" fontId="10" fillId="2" borderId="18" xfId="0" applyNumberFormat="1" applyFont="1" applyFill="1" applyBorder="1"/>
    <xf numFmtId="165" fontId="0" fillId="2" borderId="11" xfId="1" applyNumberFormat="1" applyFont="1" applyFill="1" applyBorder="1"/>
    <xf numFmtId="165" fontId="0" fillId="2" borderId="12" xfId="1" applyNumberFormat="1" applyFont="1" applyFill="1" applyBorder="1"/>
    <xf numFmtId="165" fontId="37" fillId="2" borderId="0" xfId="1" applyNumberFormat="1" applyFont="1" applyFill="1" applyAlignment="1">
      <alignment horizontal="right"/>
    </xf>
    <xf numFmtId="165" fontId="16" fillId="2" borderId="0" xfId="1" applyNumberFormat="1" applyFont="1" applyFill="1" applyAlignment="1">
      <alignment horizontal="right"/>
    </xf>
    <xf numFmtId="165" fontId="17" fillId="2" borderId="6" xfId="1" applyNumberFormat="1" applyFont="1" applyFill="1" applyBorder="1" applyAlignment="1">
      <alignment horizontal="right"/>
    </xf>
    <xf numFmtId="165" fontId="16" fillId="2" borderId="6" xfId="1" applyNumberFormat="1" applyFont="1" applyFill="1" applyBorder="1" applyAlignment="1">
      <alignment horizontal="right"/>
    </xf>
    <xf numFmtId="165" fontId="16" fillId="2" borderId="0" xfId="0" applyNumberFormat="1" applyFont="1" applyFill="1"/>
    <xf numFmtId="165" fontId="17" fillId="2" borderId="0" xfId="1" applyNumberFormat="1" applyFont="1" applyFill="1" applyBorder="1" applyAlignment="1">
      <alignment horizontal="right"/>
    </xf>
    <xf numFmtId="43" fontId="11" fillId="2" borderId="0" xfId="0" applyNumberFormat="1" applyFont="1" applyFill="1"/>
    <xf numFmtId="0" fontId="11" fillId="6" borderId="0" xfId="0" applyFont="1" applyFill="1"/>
    <xf numFmtId="0" fontId="0" fillId="2" borderId="0" xfId="0" applyNumberFormat="1" applyFill="1" applyBorder="1"/>
    <xf numFmtId="0" fontId="38" fillId="2" borderId="0" xfId="0" applyFont="1" applyFill="1"/>
    <xf numFmtId="0" fontId="38" fillId="0" borderId="0" xfId="0" applyFont="1"/>
    <xf numFmtId="0" fontId="39" fillId="2" borderId="0" xfId="0" applyFont="1" applyFill="1"/>
    <xf numFmtId="0" fontId="27" fillId="2" borderId="0" xfId="0" applyFont="1" applyFill="1" applyAlignment="1">
      <alignment horizontal="right"/>
    </xf>
    <xf numFmtId="0" fontId="28" fillId="2" borderId="0" xfId="0" applyFont="1" applyFill="1" applyAlignment="1">
      <alignment horizontal="right"/>
    </xf>
    <xf numFmtId="0" fontId="5" fillId="3" borderId="9" xfId="0" applyFont="1" applyFill="1" applyBorder="1" applyAlignment="1">
      <alignment horizontal="right"/>
    </xf>
    <xf numFmtId="166" fontId="0" fillId="2" borderId="0" xfId="2" applyNumberFormat="1" applyFont="1" applyFill="1" applyBorder="1"/>
    <xf numFmtId="168" fontId="26" fillId="2" borderId="16" xfId="0" applyNumberFormat="1" applyFont="1" applyFill="1" applyBorder="1"/>
    <xf numFmtId="9" fontId="1" fillId="2" borderId="0" xfId="2" applyFont="1" applyFill="1" applyAlignment="1">
      <alignment horizontal="right"/>
    </xf>
    <xf numFmtId="168" fontId="0" fillId="2" borderId="0" xfId="0" applyNumberFormat="1" applyFill="1" applyBorder="1" applyAlignment="1">
      <alignment horizontal="right"/>
    </xf>
    <xf numFmtId="9" fontId="0" fillId="2" borderId="0" xfId="2" applyFont="1" applyFill="1" applyBorder="1"/>
    <xf numFmtId="165" fontId="0" fillId="2" borderId="6" xfId="1" applyNumberFormat="1" applyFont="1" applyFill="1" applyBorder="1" applyAlignment="1">
      <alignment horizontal="right"/>
    </xf>
    <xf numFmtId="0" fontId="26" fillId="2" borderId="20" xfId="0" applyFont="1" applyFill="1" applyBorder="1"/>
    <xf numFmtId="168" fontId="10" fillId="2" borderId="20" xfId="4" applyNumberFormat="1" applyFont="1" applyFill="1" applyBorder="1"/>
    <xf numFmtId="0" fontId="10" fillId="2" borderId="7" xfId="0" applyFont="1" applyFill="1" applyBorder="1"/>
    <xf numFmtId="168" fontId="26" fillId="2" borderId="15" xfId="4" applyNumberFormat="1" applyFont="1" applyFill="1" applyBorder="1"/>
    <xf numFmtId="168" fontId="42" fillId="2" borderId="15" xfId="4" applyNumberFormat="1" applyFont="1" applyFill="1" applyBorder="1"/>
    <xf numFmtId="168" fontId="42" fillId="2" borderId="17" xfId="4" applyNumberFormat="1" applyFont="1" applyFill="1" applyBorder="1"/>
    <xf numFmtId="168" fontId="26" fillId="2" borderId="0" xfId="4" applyNumberFormat="1" applyFont="1" applyFill="1" applyBorder="1"/>
    <xf numFmtId="168" fontId="42" fillId="2" borderId="0" xfId="4" applyNumberFormat="1" applyFont="1" applyFill="1" applyBorder="1"/>
    <xf numFmtId="168" fontId="42" fillId="2" borderId="0" xfId="4" applyNumberFormat="1" applyFont="1" applyFill="1" applyBorder="1" applyAlignment="1">
      <alignment horizontal="right"/>
    </xf>
    <xf numFmtId="0" fontId="26" fillId="2" borderId="15" xfId="4" applyNumberFormat="1" applyFont="1" applyFill="1" applyBorder="1"/>
    <xf numFmtId="0" fontId="26" fillId="2" borderId="16" xfId="4" applyNumberFormat="1" applyFont="1" applyFill="1" applyBorder="1"/>
    <xf numFmtId="0" fontId="26" fillId="2" borderId="17" xfId="4" applyNumberFormat="1" applyFont="1" applyFill="1" applyBorder="1"/>
    <xf numFmtId="0" fontId="39" fillId="0" borderId="0" xfId="0" applyFont="1"/>
    <xf numFmtId="0" fontId="27" fillId="0" borderId="0" xfId="0" applyFont="1" applyAlignment="1">
      <alignment horizontal="right"/>
    </xf>
    <xf numFmtId="169" fontId="40" fillId="2" borderId="0" xfId="1" applyNumberFormat="1" applyFont="1" applyFill="1" applyBorder="1" applyAlignment="1">
      <alignment horizontal="right"/>
    </xf>
    <xf numFmtId="0" fontId="41" fillId="2" borderId="0" xfId="0" applyFont="1" applyFill="1" applyBorder="1"/>
    <xf numFmtId="9" fontId="40" fillId="2" borderId="0" xfId="2" applyFont="1" applyFill="1" applyBorder="1" applyAlignment="1">
      <alignment horizontal="left"/>
    </xf>
    <xf numFmtId="9" fontId="40" fillId="2" borderId="0" xfId="2" applyFont="1" applyFill="1" applyBorder="1" applyAlignment="1">
      <alignment horizontal="right"/>
    </xf>
    <xf numFmtId="170" fontId="40" fillId="2" borderId="0" xfId="1" applyNumberFormat="1" applyFont="1" applyFill="1" applyBorder="1" applyAlignment="1">
      <alignment horizontal="right"/>
    </xf>
    <xf numFmtId="0" fontId="40" fillId="2" borderId="0" xfId="0" applyFont="1" applyFill="1" applyBorder="1"/>
    <xf numFmtId="165" fontId="35" fillId="2" borderId="12" xfId="0" applyNumberFormat="1" applyFont="1" applyFill="1" applyBorder="1"/>
    <xf numFmtId="17" fontId="11" fillId="5" borderId="6" xfId="0" applyNumberFormat="1" applyFont="1" applyFill="1" applyBorder="1" applyAlignment="1">
      <alignment horizontal="right"/>
    </xf>
    <xf numFmtId="17" fontId="11" fillId="2" borderId="0" xfId="0" applyNumberFormat="1" applyFont="1" applyFill="1" applyBorder="1" applyAlignment="1">
      <alignment horizontal="right"/>
    </xf>
    <xf numFmtId="0" fontId="34" fillId="2" borderId="0" xfId="0" applyFont="1" applyFill="1" applyBorder="1" applyAlignment="1">
      <alignment horizontal="right"/>
    </xf>
    <xf numFmtId="165" fontId="0" fillId="2" borderId="0" xfId="1" applyNumberFormat="1" applyFont="1" applyFill="1" applyBorder="1" applyAlignment="1">
      <alignment horizontal="right"/>
    </xf>
    <xf numFmtId="165" fontId="35" fillId="2" borderId="0" xfId="0" applyNumberFormat="1" applyFont="1" applyFill="1" applyBorder="1"/>
    <xf numFmtId="0" fontId="0" fillId="2" borderId="0" xfId="0" applyFill="1" applyBorder="1" applyAlignment="1">
      <alignment horizontal="right"/>
    </xf>
    <xf numFmtId="0" fontId="27" fillId="2" borderId="0" xfId="0" applyFont="1" applyFill="1" applyBorder="1" applyAlignment="1">
      <alignment horizontal="right"/>
    </xf>
    <xf numFmtId="0" fontId="13" fillId="3" borderId="0" xfId="0" applyFont="1" applyFill="1" applyAlignment="1">
      <alignment horizontal="right"/>
    </xf>
    <xf numFmtId="168" fontId="11" fillId="2" borderId="0" xfId="4" applyNumberFormat="1" applyFont="1" applyFill="1"/>
    <xf numFmtId="0" fontId="28" fillId="3" borderId="9" xfId="0" applyFont="1" applyFill="1" applyBorder="1" applyAlignment="1">
      <alignment horizontal="left"/>
    </xf>
    <xf numFmtId="168" fontId="34" fillId="2" borderId="10" xfId="4" applyNumberFormat="1" applyFont="1" applyFill="1" applyBorder="1"/>
    <xf numFmtId="168" fontId="42" fillId="2" borderId="16" xfId="4" applyNumberFormat="1" applyFont="1" applyFill="1" applyBorder="1"/>
    <xf numFmtId="0" fontId="0" fillId="2" borderId="8" xfId="0" applyFill="1" applyBorder="1" applyAlignment="1">
      <alignment horizontal="right"/>
    </xf>
    <xf numFmtId="0" fontId="0" fillId="2" borderId="8" xfId="0" applyNumberFormat="1" applyFill="1" applyBorder="1"/>
    <xf numFmtId="165" fontId="0" fillId="2" borderId="8" xfId="1" applyNumberFormat="1" applyFont="1" applyFill="1" applyBorder="1" applyAlignment="1">
      <alignment horizontal="right"/>
    </xf>
    <xf numFmtId="165" fontId="35" fillId="2" borderId="9" xfId="0" applyNumberFormat="1" applyFont="1" applyFill="1" applyBorder="1"/>
    <xf numFmtId="165" fontId="35" fillId="2" borderId="11" xfId="0" applyNumberFormat="1" applyFont="1" applyFill="1" applyBorder="1"/>
    <xf numFmtId="0" fontId="43" fillId="2" borderId="0" xfId="0" applyFont="1" applyFill="1"/>
    <xf numFmtId="0" fontId="44" fillId="2" borderId="0" xfId="0" applyFont="1" applyFill="1"/>
    <xf numFmtId="0" fontId="0" fillId="2" borderId="0" xfId="0" applyNumberFormat="1" applyFill="1" applyBorder="1" applyAlignment="1">
      <alignment horizontal="right"/>
    </xf>
    <xf numFmtId="0" fontId="0" fillId="2" borderId="11" xfId="1" applyNumberFormat="1" applyFont="1" applyFill="1" applyBorder="1"/>
    <xf numFmtId="0" fontId="39" fillId="2" borderId="0" xfId="0" applyFont="1" applyFill="1" applyBorder="1"/>
    <xf numFmtId="165" fontId="39" fillId="2" borderId="0" xfId="1" applyNumberFormat="1" applyFont="1" applyFill="1" applyBorder="1" applyAlignment="1">
      <alignment horizontal="right"/>
    </xf>
    <xf numFmtId="9" fontId="0" fillId="6" borderId="0" xfId="2" applyFont="1" applyFill="1" applyBorder="1"/>
    <xf numFmtId="167" fontId="0" fillId="2" borderId="0" xfId="0" applyNumberFormat="1" applyFill="1" applyBorder="1"/>
    <xf numFmtId="1" fontId="0" fillId="2" borderId="0" xfId="0" applyNumberFormat="1" applyFill="1" applyBorder="1"/>
    <xf numFmtId="167" fontId="0" fillId="2" borderId="11" xfId="0" applyNumberFormat="1" applyFill="1" applyBorder="1"/>
    <xf numFmtId="168" fontId="26" fillId="2" borderId="17" xfId="0" applyNumberFormat="1" applyFont="1" applyFill="1" applyBorder="1"/>
    <xf numFmtId="167" fontId="0" fillId="2" borderId="0" xfId="0" applyNumberFormat="1" applyFill="1" applyBorder="1" applyAlignment="1">
      <alignment horizontal="right"/>
    </xf>
    <xf numFmtId="167" fontId="0" fillId="2" borderId="11" xfId="1" applyNumberFormat="1" applyFont="1" applyFill="1" applyBorder="1"/>
    <xf numFmtId="1" fontId="0" fillId="2" borderId="0" xfId="0" applyNumberFormat="1" applyFill="1" applyBorder="1" applyAlignment="1">
      <alignment horizontal="right"/>
    </xf>
    <xf numFmtId="1" fontId="0" fillId="2" borderId="11" xfId="1" applyNumberFormat="1" applyFont="1" applyFill="1" applyBorder="1"/>
    <xf numFmtId="9" fontId="0" fillId="2" borderId="11" xfId="2" applyFont="1" applyFill="1" applyBorder="1"/>
    <xf numFmtId="166" fontId="0" fillId="2" borderId="11" xfId="2" applyNumberFormat="1" applyFont="1" applyFill="1" applyBorder="1"/>
    <xf numFmtId="0" fontId="5" fillId="2" borderId="0" xfId="0" applyFont="1" applyFill="1" applyBorder="1" applyAlignment="1"/>
    <xf numFmtId="0" fontId="0" fillId="6" borderId="0" xfId="0" applyNumberFormat="1" applyFill="1" applyBorder="1"/>
    <xf numFmtId="166" fontId="0" fillId="6" borderId="0" xfId="2" applyNumberFormat="1" applyFont="1" applyFill="1" applyBorder="1"/>
    <xf numFmtId="44" fontId="0" fillId="6" borderId="0" xfId="4" applyFont="1" applyFill="1" applyBorder="1"/>
    <xf numFmtId="0" fontId="0" fillId="6" borderId="6" xfId="0" applyNumberFormat="1" applyFill="1" applyBorder="1"/>
    <xf numFmtId="0" fontId="5" fillId="3" borderId="9" xfId="0" applyFont="1" applyFill="1" applyBorder="1" applyAlignment="1">
      <alignment horizontal="right"/>
    </xf>
    <xf numFmtId="0" fontId="36" fillId="2" borderId="0" xfId="0" applyFont="1" applyFill="1" applyBorder="1"/>
    <xf numFmtId="168" fontId="36" fillId="2" borderId="0" xfId="0" applyNumberFormat="1" applyFont="1" applyFill="1" applyBorder="1"/>
    <xf numFmtId="9" fontId="36" fillId="2" borderId="0" xfId="2" applyFont="1" applyFill="1" applyBorder="1"/>
    <xf numFmtId="0" fontId="17" fillId="2" borderId="0" xfId="0" applyFont="1" applyFill="1" applyBorder="1" applyAlignment="1">
      <alignment vertical="top" wrapText="1"/>
    </xf>
    <xf numFmtId="165" fontId="12" fillId="2" borderId="0" xfId="0" applyNumberFormat="1" applyFont="1" applyFill="1"/>
    <xf numFmtId="0" fontId="17" fillId="2" borderId="0" xfId="0" applyFont="1" applyFill="1" applyBorder="1" applyAlignment="1">
      <alignment horizontal="center" vertical="top" wrapText="1"/>
    </xf>
    <xf numFmtId="0" fontId="16" fillId="2" borderId="0" xfId="0" applyFont="1" applyFill="1" applyBorder="1" applyAlignment="1">
      <alignment vertical="top" wrapText="1"/>
    </xf>
    <xf numFmtId="0" fontId="47" fillId="2" borderId="0" xfId="0" applyFont="1" applyFill="1" applyBorder="1" applyAlignment="1">
      <alignment horizontal="center" wrapText="1" readingOrder="1"/>
    </xf>
    <xf numFmtId="0" fontId="52" fillId="2" borderId="0" xfId="5" applyFont="1" applyFill="1" applyBorder="1" applyAlignment="1" applyProtection="1"/>
    <xf numFmtId="0" fontId="53" fillId="2" borderId="0" xfId="0" applyFont="1" applyFill="1" applyBorder="1" applyAlignment="1">
      <alignment vertical="center" wrapText="1"/>
    </xf>
    <xf numFmtId="0" fontId="54" fillId="2" borderId="0" xfId="0" applyFont="1" applyFill="1" applyBorder="1" applyAlignment="1">
      <alignment horizontal="center" vertical="center" wrapText="1" readingOrder="1"/>
    </xf>
    <xf numFmtId="0" fontId="53" fillId="2" borderId="0" xfId="0" applyFont="1" applyFill="1" applyBorder="1" applyAlignment="1">
      <alignment wrapText="1"/>
    </xf>
    <xf numFmtId="0" fontId="47" fillId="2" borderId="0" xfId="0" applyFont="1" applyFill="1" applyBorder="1" applyAlignment="1">
      <alignment horizontal="right" wrapText="1" readingOrder="1"/>
    </xf>
    <xf numFmtId="0" fontId="54" fillId="2" borderId="0" xfId="0" applyFont="1" applyFill="1" applyBorder="1" applyAlignment="1">
      <alignment horizontal="left" vertical="center" wrapText="1" readingOrder="1"/>
    </xf>
    <xf numFmtId="0" fontId="54" fillId="2" borderId="0" xfId="0" applyFont="1" applyFill="1" applyBorder="1" applyAlignment="1">
      <alignment horizontal="left" wrapText="1" readingOrder="1"/>
    </xf>
    <xf numFmtId="0" fontId="54" fillId="2" borderId="0" xfId="0" applyFont="1" applyFill="1" applyBorder="1" applyAlignment="1">
      <alignment horizontal="right" wrapText="1" readingOrder="1"/>
    </xf>
    <xf numFmtId="0" fontId="54" fillId="2" borderId="0" xfId="0" applyFont="1" applyFill="1" applyBorder="1" applyAlignment="1">
      <alignment horizontal="right" vertical="center" wrapText="1" readingOrder="1"/>
    </xf>
    <xf numFmtId="0" fontId="11" fillId="2" borderId="0" xfId="0" applyFont="1" applyFill="1" applyBorder="1" applyAlignment="1">
      <alignment vertical="top" wrapText="1"/>
    </xf>
    <xf numFmtId="0" fontId="47" fillId="2" borderId="0" xfId="0" applyFont="1" applyFill="1" applyBorder="1" applyAlignment="1">
      <alignment horizontal="center" vertical="center" wrapText="1" readingOrder="1"/>
    </xf>
    <xf numFmtId="0" fontId="48" fillId="2" borderId="0" xfId="0" applyFont="1" applyFill="1" applyBorder="1" applyAlignment="1">
      <alignment vertical="center" wrapText="1"/>
    </xf>
    <xf numFmtId="0" fontId="56" fillId="2" borderId="0" xfId="0" applyFont="1" applyFill="1" applyBorder="1" applyAlignment="1">
      <alignment horizontal="center" wrapText="1"/>
    </xf>
    <xf numFmtId="0" fontId="56" fillId="2" borderId="0" xfId="0" applyFont="1" applyFill="1" applyBorder="1"/>
    <xf numFmtId="0" fontId="57" fillId="2" borderId="0" xfId="0" applyFont="1" applyFill="1" applyBorder="1" applyAlignment="1">
      <alignment horizontal="center"/>
    </xf>
    <xf numFmtId="0" fontId="57" fillId="2" borderId="0" xfId="0" applyFont="1" applyFill="1" applyBorder="1" applyAlignment="1">
      <alignment horizontal="right"/>
    </xf>
    <xf numFmtId="169" fontId="57" fillId="2" borderId="0" xfId="1" applyNumberFormat="1" applyFont="1" applyFill="1" applyBorder="1" applyAlignment="1">
      <alignment horizontal="right"/>
    </xf>
    <xf numFmtId="0" fontId="57" fillId="2" borderId="0" xfId="0" applyFont="1" applyFill="1" applyBorder="1" applyAlignment="1">
      <alignment horizontal="center" wrapText="1"/>
    </xf>
    <xf numFmtId="0" fontId="57" fillId="2" borderId="0" xfId="0" applyFont="1" applyFill="1" applyBorder="1"/>
    <xf numFmtId="0" fontId="5" fillId="3" borderId="0" xfId="0" applyFont="1" applyFill="1" applyBorder="1" applyAlignment="1">
      <alignment horizontal="left"/>
    </xf>
    <xf numFmtId="0" fontId="12" fillId="2" borderId="0" xfId="0" applyFont="1" applyFill="1" applyBorder="1"/>
    <xf numFmtId="0" fontId="12" fillId="8" borderId="0" xfId="0" applyFont="1" applyFill="1" applyBorder="1"/>
    <xf numFmtId="165" fontId="12" fillId="8" borderId="0" xfId="1" applyNumberFormat="1" applyFont="1" applyFill="1" applyBorder="1"/>
    <xf numFmtId="165" fontId="17" fillId="2" borderId="0" xfId="1" applyNumberFormat="1" applyFont="1" applyFill="1" applyBorder="1" applyAlignment="1">
      <alignment horizontal="center" vertical="top" wrapText="1"/>
    </xf>
    <xf numFmtId="165" fontId="47" fillId="2" borderId="0" xfId="1" applyNumberFormat="1" applyFont="1" applyFill="1" applyBorder="1" applyAlignment="1">
      <alignment horizontal="left" wrapText="1" readingOrder="1"/>
    </xf>
    <xf numFmtId="165" fontId="54" fillId="2" borderId="0" xfId="1" applyNumberFormat="1" applyFont="1" applyFill="1" applyBorder="1" applyAlignment="1">
      <alignment horizontal="left" wrapText="1" readingOrder="1"/>
    </xf>
    <xf numFmtId="165" fontId="17" fillId="6" borderId="0" xfId="1" applyNumberFormat="1" applyFont="1" applyFill="1" applyBorder="1" applyAlignment="1">
      <alignment horizontal="center" vertical="top" wrapText="1"/>
    </xf>
    <xf numFmtId="165" fontId="12" fillId="2" borderId="0" xfId="0" applyNumberFormat="1" applyFont="1" applyFill="1" applyBorder="1"/>
    <xf numFmtId="165" fontId="12" fillId="2" borderId="0" xfId="1" applyNumberFormat="1" applyFont="1" applyFill="1" applyBorder="1"/>
    <xf numFmtId="0" fontId="0" fillId="5" borderId="0" xfId="0" applyFill="1" applyBorder="1" applyAlignment="1">
      <alignment wrapText="1"/>
    </xf>
    <xf numFmtId="0" fontId="0" fillId="5" borderId="0" xfId="0" applyFill="1" applyBorder="1" applyAlignment="1">
      <alignment horizontal="right" wrapText="1"/>
    </xf>
    <xf numFmtId="164" fontId="11" fillId="9" borderId="0" xfId="1" applyNumberFormat="1" applyFont="1" applyFill="1" applyBorder="1"/>
    <xf numFmtId="0" fontId="62" fillId="2" borderId="0" xfId="0" applyFont="1" applyFill="1" applyAlignment="1">
      <alignment horizontal="left"/>
    </xf>
    <xf numFmtId="169" fontId="2" fillId="2" borderId="0" xfId="0" applyNumberFormat="1" applyFont="1" applyFill="1" applyBorder="1"/>
    <xf numFmtId="169" fontId="2" fillId="2" borderId="0" xfId="1" applyNumberFormat="1" applyFont="1" applyFill="1" applyBorder="1" applyAlignment="1"/>
    <xf numFmtId="169" fontId="63" fillId="2" borderId="0" xfId="1" applyNumberFormat="1" applyFont="1" applyFill="1" applyBorder="1" applyAlignment="1">
      <alignment horizontal="left"/>
    </xf>
    <xf numFmtId="169" fontId="2" fillId="2" borderId="0" xfId="1" applyNumberFormat="1" applyFont="1" applyFill="1" applyBorder="1" applyAlignment="1">
      <alignment horizontal="left"/>
    </xf>
    <xf numFmtId="0" fontId="33" fillId="2" borderId="0" xfId="0" applyFont="1" applyFill="1"/>
    <xf numFmtId="0" fontId="64" fillId="2" borderId="0" xfId="0" applyFont="1" applyFill="1"/>
    <xf numFmtId="0" fontId="11" fillId="0" borderId="0" xfId="0" applyFont="1"/>
    <xf numFmtId="0" fontId="13" fillId="3" borderId="9" xfId="0" applyFont="1" applyFill="1" applyBorder="1" applyAlignment="1">
      <alignment horizontal="right"/>
    </xf>
    <xf numFmtId="0" fontId="6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1" fillId="5" borderId="11" xfId="0" applyFont="1" applyFill="1" applyBorder="1" applyAlignment="1">
      <alignment horizontal="right"/>
    </xf>
    <xf numFmtId="17" fontId="11" fillId="2" borderId="0" xfId="0" applyNumberFormat="1" applyFont="1" applyFill="1"/>
    <xf numFmtId="0" fontId="11" fillId="2" borderId="18" xfId="0" applyFont="1" applyFill="1" applyBorder="1"/>
    <xf numFmtId="168" fontId="11" fillId="2" borderId="0" xfId="0" applyNumberFormat="1" applyFont="1" applyFill="1" applyBorder="1"/>
    <xf numFmtId="165" fontId="64" fillId="2" borderId="11" xfId="1" applyNumberFormat="1" applyFont="1" applyFill="1" applyBorder="1" applyAlignment="1">
      <alignment horizontal="right"/>
    </xf>
    <xf numFmtId="0" fontId="12" fillId="2" borderId="19" xfId="0" applyFont="1" applyFill="1" applyBorder="1"/>
    <xf numFmtId="0" fontId="12" fillId="2" borderId="16" xfId="0" applyFont="1" applyFill="1" applyBorder="1"/>
    <xf numFmtId="168" fontId="12" fillId="2" borderId="16" xfId="0" applyNumberFormat="1" applyFont="1" applyFill="1" applyBorder="1"/>
    <xf numFmtId="9" fontId="12" fillId="2" borderId="16" xfId="2" applyFont="1" applyFill="1" applyBorder="1"/>
    <xf numFmtId="168" fontId="12" fillId="2" borderId="17" xfId="2" applyNumberFormat="1" applyFont="1" applyFill="1" applyBorder="1" applyAlignment="1">
      <alignment horizontal="right"/>
    </xf>
    <xf numFmtId="9" fontId="11" fillId="2" borderId="0" xfId="2" applyFont="1" applyFill="1" applyAlignment="1">
      <alignment horizontal="right"/>
    </xf>
    <xf numFmtId="0" fontId="61" fillId="2" borderId="0" xfId="0" applyFont="1" applyFill="1" applyBorder="1"/>
    <xf numFmtId="0" fontId="59" fillId="2" borderId="0" xfId="0" applyFont="1" applyFill="1" applyBorder="1"/>
    <xf numFmtId="9" fontId="61" fillId="2" borderId="0" xfId="2" applyFont="1" applyFill="1" applyBorder="1" applyAlignment="1">
      <alignment horizontal="left"/>
    </xf>
    <xf numFmtId="9" fontId="61" fillId="2" borderId="0" xfId="2" applyFont="1" applyFill="1" applyBorder="1" applyAlignment="1">
      <alignment horizontal="right"/>
    </xf>
    <xf numFmtId="169" fontId="61" fillId="2" borderId="0" xfId="1" applyNumberFormat="1" applyFont="1" applyFill="1" applyBorder="1" applyAlignment="1">
      <alignment horizontal="right"/>
    </xf>
    <xf numFmtId="168" fontId="12" fillId="2" borderId="0" xfId="4" applyNumberFormat="1" applyFont="1" applyFill="1" applyBorder="1"/>
    <xf numFmtId="0" fontId="11" fillId="5" borderId="0" xfId="0" applyFont="1" applyFill="1" applyBorder="1" applyAlignment="1">
      <alignment horizontal="right"/>
    </xf>
    <xf numFmtId="0" fontId="2" fillId="5" borderId="0" xfId="0" applyFont="1" applyFill="1" applyBorder="1" applyAlignment="1">
      <alignment horizontal="right"/>
    </xf>
    <xf numFmtId="0" fontId="12" fillId="2" borderId="18" xfId="0" applyFont="1" applyFill="1" applyBorder="1"/>
    <xf numFmtId="168" fontId="11" fillId="2" borderId="18" xfId="4" applyNumberFormat="1" applyFont="1" applyFill="1" applyBorder="1"/>
    <xf numFmtId="165" fontId="11" fillId="2" borderId="10" xfId="4" applyNumberFormat="1" applyFont="1" applyFill="1" applyBorder="1"/>
    <xf numFmtId="165" fontId="11" fillId="6" borderId="0" xfId="1" applyNumberFormat="1" applyFont="1" applyFill="1" applyBorder="1"/>
    <xf numFmtId="165" fontId="11" fillId="6" borderId="11" xfId="1" applyNumberFormat="1" applyFont="1" applyFill="1" applyBorder="1"/>
    <xf numFmtId="0" fontId="11" fillId="2" borderId="19" xfId="0" applyFont="1" applyFill="1" applyBorder="1"/>
    <xf numFmtId="168" fontId="11" fillId="2" borderId="19" xfId="4" applyNumberFormat="1" applyFont="1" applyFill="1" applyBorder="1"/>
    <xf numFmtId="168" fontId="11" fillId="2" borderId="20" xfId="4" applyNumberFormat="1" applyFont="1" applyFill="1" applyBorder="1"/>
    <xf numFmtId="165" fontId="11" fillId="2" borderId="8" xfId="1" applyNumberFormat="1" applyFont="1" applyFill="1" applyBorder="1"/>
    <xf numFmtId="165" fontId="11" fillId="2" borderId="9" xfId="1" applyNumberFormat="1" applyFont="1" applyFill="1" applyBorder="1"/>
    <xf numFmtId="0" fontId="67" fillId="2" borderId="18" xfId="0" applyFont="1" applyFill="1" applyBorder="1"/>
    <xf numFmtId="168" fontId="2" fillId="2" borderId="0" xfId="4" applyNumberFormat="1" applyFont="1" applyFill="1" applyBorder="1" applyAlignment="1">
      <alignment horizontal="right"/>
    </xf>
    <xf numFmtId="165" fontId="11" fillId="2" borderId="11" xfId="1" applyNumberFormat="1" applyFont="1" applyFill="1" applyBorder="1"/>
    <xf numFmtId="168" fontId="11" fillId="2" borderId="21" xfId="4" applyNumberFormat="1" applyFont="1" applyFill="1" applyBorder="1"/>
    <xf numFmtId="168" fontId="12" fillId="2" borderId="19" xfId="4" applyNumberFormat="1" applyFont="1" applyFill="1" applyBorder="1"/>
    <xf numFmtId="0" fontId="12" fillId="2" borderId="20" xfId="0" applyFont="1" applyFill="1" applyBorder="1"/>
    <xf numFmtId="0" fontId="11" fillId="2" borderId="11" xfId="0" applyFont="1" applyFill="1" applyBorder="1"/>
    <xf numFmtId="0" fontId="63" fillId="2" borderId="0" xfId="0" applyFont="1" applyFill="1" applyAlignment="1">
      <alignment horizontal="left"/>
    </xf>
    <xf numFmtId="0" fontId="63" fillId="2" borderId="0" xfId="0" applyFont="1" applyFill="1"/>
    <xf numFmtId="0" fontId="63" fillId="3" borderId="0" xfId="0" applyFont="1" applyFill="1" applyBorder="1" applyAlignment="1">
      <alignment horizontal="left"/>
    </xf>
    <xf numFmtId="169" fontId="63" fillId="2" borderId="0" xfId="1" applyNumberFormat="1" applyFont="1" applyFill="1" applyAlignment="1">
      <alignment horizontal="left"/>
    </xf>
    <xf numFmtId="169" fontId="63" fillId="2" borderId="0" xfId="1" applyNumberFormat="1" applyFont="1" applyFill="1" applyAlignment="1"/>
    <xf numFmtId="170" fontId="63" fillId="2" borderId="0" xfId="1" applyNumberFormat="1" applyFont="1" applyFill="1" applyAlignment="1">
      <alignment horizontal="left"/>
    </xf>
    <xf numFmtId="170" fontId="63" fillId="2" borderId="0" xfId="1" applyNumberFormat="1" applyFont="1" applyFill="1" applyAlignment="1">
      <alignment horizontal="right"/>
    </xf>
    <xf numFmtId="169" fontId="63" fillId="5" borderId="0" xfId="1" applyNumberFormat="1" applyFont="1" applyFill="1" applyBorder="1" applyAlignment="1" applyProtection="1">
      <alignment horizontal="left"/>
    </xf>
    <xf numFmtId="170" fontId="63" fillId="5" borderId="0" xfId="1" applyNumberFormat="1" applyFont="1" applyFill="1" applyBorder="1" applyAlignment="1" applyProtection="1">
      <alignment horizontal="right"/>
    </xf>
    <xf numFmtId="172" fontId="63" fillId="5" borderId="0" xfId="1" applyNumberFormat="1" applyFont="1" applyFill="1" applyBorder="1" applyAlignment="1" applyProtection="1">
      <alignment horizontal="right"/>
    </xf>
    <xf numFmtId="169" fontId="63" fillId="5" borderId="0" xfId="1" applyNumberFormat="1" applyFont="1" applyFill="1" applyBorder="1" applyAlignment="1" applyProtection="1">
      <alignment horizontal="right"/>
    </xf>
    <xf numFmtId="169" fontId="2" fillId="2" borderId="8" xfId="1" applyNumberFormat="1" applyFont="1" applyFill="1" applyBorder="1" applyAlignment="1"/>
    <xf numFmtId="169" fontId="2" fillId="2" borderId="9" xfId="1" applyNumberFormat="1" applyFont="1" applyFill="1" applyBorder="1" applyAlignment="1">
      <alignment horizontal="right"/>
    </xf>
    <xf numFmtId="0" fontId="2" fillId="2" borderId="10" xfId="0" applyFont="1" applyFill="1" applyBorder="1"/>
    <xf numFmtId="169" fontId="2" fillId="2" borderId="11" xfId="1" applyNumberFormat="1" applyFont="1" applyFill="1" applyBorder="1" applyAlignment="1">
      <alignment horizontal="right"/>
    </xf>
    <xf numFmtId="169" fontId="63" fillId="2" borderId="13" xfId="1" applyNumberFormat="1" applyFont="1" applyFill="1" applyBorder="1" applyAlignment="1">
      <alignment horizontal="left"/>
    </xf>
    <xf numFmtId="169" fontId="2" fillId="2" borderId="6" xfId="1" applyNumberFormat="1" applyFont="1" applyFill="1" applyBorder="1" applyAlignment="1"/>
    <xf numFmtId="169" fontId="2" fillId="2" borderId="12" xfId="1" applyNumberFormat="1" applyFont="1" applyFill="1" applyBorder="1" applyAlignment="1">
      <alignment horizontal="right"/>
    </xf>
    <xf numFmtId="169" fontId="63" fillId="2" borderId="30" xfId="1" applyNumberFormat="1" applyFont="1" applyFill="1" applyBorder="1" applyAlignment="1">
      <alignment horizontal="left"/>
    </xf>
    <xf numFmtId="169" fontId="63" fillId="2" borderId="1" xfId="1" applyNumberFormat="1" applyFont="1" applyFill="1" applyBorder="1" applyAlignment="1"/>
    <xf numFmtId="169" fontId="63" fillId="2" borderId="26" xfId="1" applyNumberFormat="1" applyFont="1" applyFill="1" applyBorder="1" applyAlignment="1">
      <alignment horizontal="left"/>
    </xf>
    <xf numFmtId="169" fontId="63" fillId="5" borderId="22" xfId="1" applyNumberFormat="1" applyFont="1" applyFill="1" applyBorder="1" applyAlignment="1" applyProtection="1">
      <alignment horizontal="left"/>
    </xf>
    <xf numFmtId="170" fontId="63" fillId="5" borderId="22" xfId="1" applyNumberFormat="1" applyFont="1" applyFill="1" applyBorder="1" applyAlignment="1" applyProtection="1">
      <alignment horizontal="right"/>
    </xf>
    <xf numFmtId="172" fontId="63" fillId="5" borderId="22" xfId="1" applyNumberFormat="1" applyFont="1" applyFill="1" applyBorder="1" applyAlignment="1" applyProtection="1">
      <alignment horizontal="right"/>
    </xf>
    <xf numFmtId="169" fontId="63" fillId="5" borderId="22" xfId="1" applyNumberFormat="1" applyFont="1" applyFill="1" applyBorder="1" applyAlignment="1" applyProtection="1">
      <alignment horizontal="right"/>
    </xf>
    <xf numFmtId="170" fontId="63" fillId="2" borderId="0" xfId="1" applyNumberFormat="1" applyFont="1" applyFill="1" applyBorder="1" applyAlignment="1">
      <alignment horizontal="left"/>
    </xf>
    <xf numFmtId="170" fontId="63" fillId="2" borderId="1" xfId="1" applyNumberFormat="1" applyFont="1" applyFill="1" applyBorder="1" applyAlignment="1">
      <alignment horizontal="left"/>
    </xf>
    <xf numFmtId="169" fontId="2" fillId="2" borderId="1" xfId="1" applyNumberFormat="1" applyFont="1" applyFill="1" applyBorder="1" applyAlignment="1"/>
    <xf numFmtId="9" fontId="2" fillId="2" borderId="0" xfId="2" applyFont="1" applyFill="1" applyBorder="1" applyAlignment="1"/>
    <xf numFmtId="9" fontId="2" fillId="2" borderId="0" xfId="2" applyFont="1" applyFill="1" applyBorder="1" applyAlignment="1">
      <alignment horizontal="right"/>
    </xf>
    <xf numFmtId="169" fontId="63" fillId="2" borderId="0" xfId="1" applyNumberFormat="1" applyFont="1" applyFill="1" applyBorder="1" applyAlignment="1"/>
    <xf numFmtId="9" fontId="63" fillId="2" borderId="0" xfId="2" applyFont="1" applyFill="1" applyBorder="1" applyAlignment="1">
      <alignment horizontal="right"/>
    </xf>
    <xf numFmtId="170" fontId="63" fillId="2" borderId="0" xfId="1" applyNumberFormat="1" applyFont="1" applyFill="1" applyBorder="1" applyAlignment="1">
      <alignment horizontal="right"/>
    </xf>
    <xf numFmtId="0" fontId="2" fillId="2" borderId="13" xfId="0" applyFont="1" applyFill="1" applyBorder="1"/>
    <xf numFmtId="169" fontId="2" fillId="2" borderId="11" xfId="1" applyNumberFormat="1" applyFont="1" applyFill="1" applyBorder="1" applyAlignment="1"/>
    <xf numFmtId="0" fontId="2" fillId="2" borderId="33" xfId="0" applyFont="1" applyFill="1" applyBorder="1"/>
    <xf numFmtId="9" fontId="2" fillId="2" borderId="31" xfId="2" applyFont="1" applyFill="1" applyBorder="1" applyAlignment="1">
      <alignment horizontal="right"/>
    </xf>
    <xf numFmtId="9" fontId="2" fillId="2" borderId="36" xfId="2" applyFont="1" applyFill="1" applyBorder="1" applyAlignment="1">
      <alignment horizontal="right"/>
    </xf>
    <xf numFmtId="9" fontId="2" fillId="2" borderId="11" xfId="2" applyFont="1" applyFill="1" applyBorder="1" applyAlignment="1">
      <alignment horizontal="right"/>
    </xf>
    <xf numFmtId="9" fontId="2" fillId="2" borderId="6" xfId="2" applyFont="1" applyFill="1" applyBorder="1" applyAlignment="1">
      <alignment horizontal="right"/>
    </xf>
    <xf numFmtId="9" fontId="2" fillId="2" borderId="12" xfId="2" applyFont="1" applyFill="1" applyBorder="1" applyAlignment="1">
      <alignment horizontal="right"/>
    </xf>
    <xf numFmtId="173" fontId="2" fillId="2" borderId="1" xfId="1" applyNumberFormat="1" applyFont="1" applyFill="1" applyBorder="1" applyAlignment="1"/>
    <xf numFmtId="173" fontId="2" fillId="2" borderId="37" xfId="1" applyNumberFormat="1" applyFont="1" applyFill="1" applyBorder="1" applyAlignment="1"/>
    <xf numFmtId="171" fontId="2" fillId="2" borderId="11" xfId="1" applyNumberFormat="1" applyFont="1" applyFill="1" applyBorder="1" applyAlignment="1"/>
    <xf numFmtId="0" fontId="66" fillId="3" borderId="0" xfId="0" applyFont="1" applyFill="1" applyBorder="1" applyAlignment="1">
      <alignment horizontal="left"/>
    </xf>
    <xf numFmtId="165" fontId="2" fillId="6" borderId="0" xfId="1" applyNumberFormat="1" applyFont="1" applyFill="1" applyBorder="1" applyAlignment="1"/>
    <xf numFmtId="165" fontId="2" fillId="6" borderId="0" xfId="1" applyNumberFormat="1" applyFont="1" applyFill="1" applyBorder="1" applyAlignment="1">
      <alignment horizontal="left"/>
    </xf>
    <xf numFmtId="165" fontId="2" fillId="6" borderId="1" xfId="1" applyNumberFormat="1" applyFont="1" applyFill="1" applyBorder="1" applyAlignment="1">
      <alignment horizontal="left"/>
    </xf>
    <xf numFmtId="169" fontId="20" fillId="2" borderId="0" xfId="0" applyNumberFormat="1" applyFont="1" applyFill="1" applyBorder="1"/>
    <xf numFmtId="169" fontId="20" fillId="2" borderId="0" xfId="1" applyNumberFormat="1" applyFont="1" applyFill="1" applyBorder="1" applyAlignment="1"/>
    <xf numFmtId="169" fontId="2" fillId="2" borderId="7" xfId="1" applyNumberFormat="1" applyFont="1" applyFill="1" applyBorder="1" applyAlignment="1">
      <alignment horizontal="left"/>
    </xf>
    <xf numFmtId="169" fontId="2" fillId="2" borderId="8" xfId="0" applyNumberFormat="1" applyFont="1" applyFill="1" applyBorder="1"/>
    <xf numFmtId="169" fontId="2" fillId="2" borderId="10" xfId="1" applyNumberFormat="1" applyFont="1" applyFill="1" applyBorder="1" applyAlignment="1">
      <alignment horizontal="left"/>
    </xf>
    <xf numFmtId="169" fontId="2" fillId="2" borderId="12" xfId="1" applyNumberFormat="1" applyFont="1" applyFill="1" applyBorder="1" applyAlignment="1"/>
    <xf numFmtId="169" fontId="20" fillId="2" borderId="10" xfId="1" applyNumberFormat="1" applyFont="1" applyFill="1" applyBorder="1" applyAlignment="1">
      <alignment horizontal="left"/>
    </xf>
    <xf numFmtId="169" fontId="20" fillId="2" borderId="11" xfId="1" applyNumberFormat="1" applyFont="1" applyFill="1" applyBorder="1" applyAlignment="1"/>
    <xf numFmtId="169" fontId="2" fillId="2" borderId="32" xfId="1" applyNumberFormat="1" applyFont="1" applyFill="1" applyBorder="1" applyAlignment="1">
      <alignment horizontal="left"/>
    </xf>
    <xf numFmtId="169" fontId="2" fillId="2" borderId="34" xfId="0" applyNumberFormat="1" applyFont="1" applyFill="1" applyBorder="1"/>
    <xf numFmtId="169" fontId="2" fillId="2" borderId="34" xfId="1" applyNumberFormat="1" applyFont="1" applyFill="1" applyBorder="1" applyAlignment="1"/>
    <xf numFmtId="169" fontId="2" fillId="2" borderId="35" xfId="1" applyNumberFormat="1" applyFont="1" applyFill="1" applyBorder="1" applyAlignment="1"/>
    <xf numFmtId="169" fontId="2" fillId="2" borderId="9" xfId="1" applyNumberFormat="1" applyFont="1" applyFill="1" applyBorder="1" applyAlignment="1"/>
    <xf numFmtId="17" fontId="6" fillId="2" borderId="2" xfId="0" applyNumberFormat="1" applyFont="1" applyFill="1" applyBorder="1" applyAlignment="1">
      <alignment horizontal="center"/>
    </xf>
    <xf numFmtId="171" fontId="2" fillId="2" borderId="12" xfId="1" applyNumberFormat="1" applyFont="1" applyFill="1" applyBorder="1" applyAlignment="1"/>
    <xf numFmtId="165" fontId="11" fillId="2" borderId="14" xfId="1" applyNumberFormat="1" applyFont="1" applyFill="1" applyBorder="1"/>
    <xf numFmtId="165" fontId="10" fillId="2" borderId="0" xfId="1" applyNumberFormat="1" applyFont="1" applyFill="1"/>
    <xf numFmtId="174" fontId="0" fillId="2" borderId="0" xfId="0" applyNumberFormat="1" applyFill="1"/>
    <xf numFmtId="167" fontId="0" fillId="2" borderId="0" xfId="0" applyNumberFormat="1" applyFill="1"/>
    <xf numFmtId="0" fontId="11" fillId="3" borderId="0" xfId="0" applyFont="1" applyFill="1"/>
    <xf numFmtId="0" fontId="33" fillId="3" borderId="0" xfId="0" applyFont="1" applyFill="1" applyBorder="1" applyAlignment="1">
      <alignment horizontal="left"/>
    </xf>
    <xf numFmtId="165" fontId="11" fillId="2" borderId="6" xfId="0" applyNumberFormat="1" applyFont="1" applyFill="1" applyBorder="1"/>
    <xf numFmtId="165" fontId="12" fillId="2" borderId="14" xfId="0" applyNumberFormat="1" applyFont="1" applyFill="1" applyBorder="1"/>
    <xf numFmtId="0" fontId="13" fillId="11" borderId="0" xfId="0" applyFont="1" applyFill="1" applyAlignment="1">
      <alignment horizontal="left"/>
    </xf>
    <xf numFmtId="0" fontId="69" fillId="11" borderId="0" xfId="0" applyFont="1" applyFill="1" applyAlignment="1">
      <alignment horizontal="right"/>
    </xf>
    <xf numFmtId="0" fontId="70" fillId="12" borderId="0" xfId="0" applyFont="1" applyFill="1"/>
    <xf numFmtId="166" fontId="70" fillId="12" borderId="0" xfId="3" applyNumberFormat="1" applyFont="1" applyFill="1"/>
    <xf numFmtId="6" fontId="11" fillId="2" borderId="0" xfId="0" applyNumberFormat="1" applyFont="1" applyFill="1"/>
    <xf numFmtId="165" fontId="70" fillId="12" borderId="0" xfId="1" applyNumberFormat="1" applyFont="1" applyFill="1"/>
    <xf numFmtId="165" fontId="70" fillId="12" borderId="8" xfId="1" applyNumberFormat="1" applyFont="1" applyFill="1" applyBorder="1"/>
    <xf numFmtId="165" fontId="70" fillId="12" borderId="0" xfId="0" applyNumberFormat="1" applyFont="1" applyFill="1" applyBorder="1"/>
    <xf numFmtId="165" fontId="70" fillId="12" borderId="14" xfId="0" applyNumberFormat="1" applyFont="1" applyFill="1" applyBorder="1"/>
    <xf numFmtId="0" fontId="2" fillId="2" borderId="0" xfId="0" applyFont="1" applyFill="1" applyAlignment="1">
      <alignment horizontal="right"/>
    </xf>
    <xf numFmtId="0" fontId="17" fillId="2" borderId="0" xfId="0" applyFont="1" applyFill="1" applyBorder="1" applyAlignment="1">
      <alignment horizontal="center" vertical="top" wrapText="1"/>
    </xf>
    <xf numFmtId="0" fontId="11" fillId="2" borderId="8" xfId="0" applyFont="1" applyFill="1" applyBorder="1"/>
    <xf numFmtId="168" fontId="11" fillId="2" borderId="0" xfId="4" applyNumberFormat="1" applyFont="1" applyFill="1" applyBorder="1"/>
    <xf numFmtId="168" fontId="12" fillId="2" borderId="16" xfId="4" applyNumberFormat="1" applyFont="1" applyFill="1" applyBorder="1"/>
    <xf numFmtId="0" fontId="10" fillId="2" borderId="0" xfId="0" applyNumberFormat="1" applyFont="1" applyFill="1" applyBorder="1" applyAlignment="1">
      <alignment horizontal="left"/>
    </xf>
    <xf numFmtId="0" fontId="14" fillId="2" borderId="16" xfId="0" applyNumberFormat="1" applyFont="1" applyFill="1" applyBorder="1" applyAlignment="1">
      <alignment horizontal="left"/>
    </xf>
    <xf numFmtId="9" fontId="12" fillId="2" borderId="17" xfId="2" applyFont="1" applyFill="1" applyBorder="1"/>
    <xf numFmtId="43" fontId="11" fillId="2" borderId="0" xfId="1" applyFont="1" applyFill="1" applyBorder="1"/>
    <xf numFmtId="43" fontId="12" fillId="2" borderId="16" xfId="1" applyFont="1" applyFill="1" applyBorder="1"/>
    <xf numFmtId="0" fontId="11" fillId="5" borderId="0" xfId="0" applyFont="1" applyFill="1" applyBorder="1" applyAlignment="1">
      <alignment horizontal="left"/>
    </xf>
    <xf numFmtId="168" fontId="11" fillId="6" borderId="0" xfId="4" applyNumberFormat="1" applyFont="1" applyFill="1" applyBorder="1"/>
    <xf numFmtId="0" fontId="11" fillId="5" borderId="11" xfId="0" applyFont="1" applyFill="1" applyBorder="1" applyAlignment="1">
      <alignment horizontal="left"/>
    </xf>
    <xf numFmtId="165" fontId="64" fillId="2" borderId="11" xfId="1" applyNumberFormat="1" applyFont="1" applyFill="1" applyBorder="1" applyAlignment="1">
      <alignment horizontal="left"/>
    </xf>
    <xf numFmtId="165" fontId="12" fillId="2" borderId="17" xfId="1" applyNumberFormat="1" applyFont="1" applyFill="1" applyBorder="1" applyAlignment="1">
      <alignment horizontal="left"/>
    </xf>
    <xf numFmtId="9" fontId="11" fillId="2" borderId="0" xfId="2" applyFont="1" applyFill="1" applyAlignment="1">
      <alignment horizontal="left"/>
    </xf>
    <xf numFmtId="0" fontId="27" fillId="2" borderId="0" xfId="0" applyFont="1" applyFill="1" applyAlignment="1">
      <alignment horizontal="left"/>
    </xf>
    <xf numFmtId="165" fontId="64" fillId="2" borderId="11" xfId="1" applyNumberFormat="1" applyFont="1" applyFill="1" applyBorder="1" applyAlignment="1">
      <alignment horizontal="left" wrapText="1"/>
    </xf>
    <xf numFmtId="168" fontId="12" fillId="2" borderId="17" xfId="2" applyNumberFormat="1" applyFont="1" applyFill="1" applyBorder="1" applyAlignment="1">
      <alignment horizontal="left"/>
    </xf>
    <xf numFmtId="168" fontId="65" fillId="2" borderId="0" xfId="4" applyNumberFormat="1" applyFont="1" applyFill="1" applyBorder="1" applyAlignment="1">
      <alignment horizontal="left"/>
    </xf>
    <xf numFmtId="0" fontId="73" fillId="0" borderId="47" xfId="0" applyFont="1" applyBorder="1" applyAlignment="1">
      <alignment horizontal="center" vertical="top" wrapText="1"/>
    </xf>
    <xf numFmtId="0" fontId="73" fillId="0" borderId="48" xfId="0" applyFont="1" applyBorder="1" applyAlignment="1">
      <alignment horizontal="center" vertical="top" wrapText="1"/>
    </xf>
    <xf numFmtId="0" fontId="72" fillId="0" borderId="49" xfId="0" applyFont="1" applyBorder="1" applyAlignment="1">
      <alignment horizontal="center" vertical="top" wrapText="1"/>
    </xf>
    <xf numFmtId="0" fontId="72" fillId="0" borderId="50" xfId="0" applyFont="1" applyBorder="1" applyAlignment="1">
      <alignment vertical="top" wrapText="1"/>
    </xf>
    <xf numFmtId="0" fontId="72" fillId="0" borderId="50" xfId="0" applyFont="1" applyBorder="1" applyAlignment="1">
      <alignment horizontal="center" vertical="top" wrapText="1"/>
    </xf>
    <xf numFmtId="0" fontId="76" fillId="0" borderId="49" xfId="0" applyFont="1" applyBorder="1" applyAlignment="1">
      <alignment horizontal="center" vertical="top" wrapText="1"/>
    </xf>
    <xf numFmtId="0" fontId="76" fillId="0" borderId="50" xfId="0" applyFont="1" applyBorder="1" applyAlignment="1">
      <alignment vertical="top" wrapText="1"/>
    </xf>
    <xf numFmtId="0" fontId="76" fillId="0" borderId="50" xfId="0" applyFont="1" applyBorder="1" applyAlignment="1">
      <alignment horizontal="center" vertical="top" wrapText="1"/>
    </xf>
    <xf numFmtId="0" fontId="72" fillId="0" borderId="0" xfId="0" applyFont="1" applyAlignment="1">
      <alignment wrapText="1"/>
    </xf>
    <xf numFmtId="0" fontId="72" fillId="0" borderId="51" xfId="0" applyFont="1" applyBorder="1" applyAlignment="1">
      <alignment wrapText="1"/>
    </xf>
    <xf numFmtId="0" fontId="72" fillId="0" borderId="54" xfId="0" applyFont="1" applyFill="1" applyBorder="1" applyAlignment="1">
      <alignment horizontal="center" vertical="top" wrapText="1"/>
    </xf>
    <xf numFmtId="0" fontId="73" fillId="0" borderId="47" xfId="0" applyFont="1" applyBorder="1" applyAlignment="1">
      <alignment vertical="top" wrapText="1"/>
    </xf>
    <xf numFmtId="0" fontId="73" fillId="0" borderId="48" xfId="0" applyFont="1" applyBorder="1" applyAlignment="1">
      <alignment vertical="top" wrapText="1"/>
    </xf>
    <xf numFmtId="0" fontId="72" fillId="0" borderId="49" xfId="0" applyFont="1" applyBorder="1" applyAlignment="1">
      <alignment vertical="top" wrapText="1"/>
    </xf>
    <xf numFmtId="0" fontId="73" fillId="0" borderId="50" xfId="0" applyFont="1" applyBorder="1" applyAlignment="1">
      <alignment vertical="top" wrapText="1"/>
    </xf>
    <xf numFmtId="0" fontId="0" fillId="3" borderId="0" xfId="0" applyFill="1"/>
    <xf numFmtId="0" fontId="79" fillId="3" borderId="0" xfId="5" applyFont="1" applyFill="1" applyBorder="1" applyAlignment="1" applyProtection="1"/>
    <xf numFmtId="0" fontId="33" fillId="3" borderId="0" xfId="0" applyFont="1" applyFill="1" applyBorder="1"/>
    <xf numFmtId="165" fontId="33" fillId="3" borderId="0" xfId="1" applyNumberFormat="1" applyFont="1" applyFill="1" applyBorder="1"/>
    <xf numFmtId="0" fontId="80" fillId="5" borderId="0" xfId="5" applyFont="1" applyFill="1" applyBorder="1" applyAlignment="1" applyProtection="1"/>
    <xf numFmtId="165" fontId="34" fillId="5" borderId="0" xfId="1" applyNumberFormat="1" applyFont="1" applyFill="1" applyBorder="1"/>
    <xf numFmtId="165" fontId="12" fillId="2" borderId="8" xfId="1" applyNumberFormat="1" applyFont="1" applyFill="1" applyBorder="1"/>
    <xf numFmtId="43" fontId="10" fillId="2" borderId="0" xfId="1" applyFont="1" applyFill="1" applyBorder="1"/>
    <xf numFmtId="0" fontId="12" fillId="2" borderId="8" xfId="0" applyFont="1" applyFill="1" applyBorder="1"/>
    <xf numFmtId="0" fontId="12" fillId="2" borderId="10" xfId="0" applyFont="1" applyFill="1" applyBorder="1"/>
    <xf numFmtId="0" fontId="67" fillId="2" borderId="10" xfId="0" applyFont="1" applyFill="1" applyBorder="1"/>
    <xf numFmtId="0" fontId="12" fillId="2" borderId="15" xfId="0" applyFont="1" applyFill="1" applyBorder="1"/>
    <xf numFmtId="9" fontId="11" fillId="2" borderId="16" xfId="2" applyFont="1" applyFill="1" applyBorder="1" applyAlignment="1">
      <alignment horizontal="right"/>
    </xf>
    <xf numFmtId="165" fontId="12" fillId="2" borderId="16" xfId="1" applyNumberFormat="1" applyFont="1" applyFill="1" applyBorder="1"/>
    <xf numFmtId="165" fontId="64" fillId="2" borderId="16" xfId="1" applyNumberFormat="1" applyFont="1" applyFill="1" applyBorder="1"/>
    <xf numFmtId="165" fontId="11" fillId="2" borderId="16" xfId="1" applyNumberFormat="1" applyFont="1" applyFill="1" applyBorder="1"/>
    <xf numFmtId="165" fontId="11" fillId="2" borderId="17" xfId="1" applyNumberFormat="1" applyFont="1" applyFill="1" applyBorder="1"/>
    <xf numFmtId="168" fontId="11" fillId="2" borderId="20" xfId="4" applyNumberFormat="1" applyFont="1" applyFill="1" applyBorder="1" applyAlignment="1">
      <alignment horizontal="right"/>
    </xf>
    <xf numFmtId="165" fontId="11" fillId="2" borderId="7" xfId="1" applyNumberFormat="1" applyFont="1" applyFill="1" applyBorder="1"/>
    <xf numFmtId="168" fontId="11" fillId="2" borderId="18" xfId="4" applyNumberFormat="1" applyFont="1" applyFill="1" applyBorder="1" applyAlignment="1">
      <alignment horizontal="right"/>
    </xf>
    <xf numFmtId="168" fontId="11" fillId="6" borderId="18" xfId="4" applyNumberFormat="1" applyFont="1" applyFill="1" applyBorder="1" applyAlignment="1">
      <alignment horizontal="right"/>
    </xf>
    <xf numFmtId="165" fontId="11" fillId="2" borderId="0" xfId="0" applyNumberFormat="1" applyFont="1" applyFill="1" applyBorder="1"/>
    <xf numFmtId="0" fontId="33" fillId="3" borderId="8" xfId="0" applyFont="1" applyFill="1" applyBorder="1" applyAlignment="1">
      <alignment horizontal="center"/>
    </xf>
    <xf numFmtId="0" fontId="33" fillId="2" borderId="0" xfId="0" applyFont="1" applyFill="1" applyBorder="1"/>
    <xf numFmtId="168" fontId="11" fillId="2" borderId="0" xfId="4" applyNumberFormat="1" applyFont="1" applyFill="1" applyBorder="1" applyAlignment="1">
      <alignment horizontal="right"/>
    </xf>
    <xf numFmtId="9" fontId="61" fillId="2" borderId="8" xfId="2" applyFont="1" applyFill="1" applyBorder="1" applyAlignment="1">
      <alignment horizontal="left"/>
    </xf>
    <xf numFmtId="169" fontId="61" fillId="2" borderId="8" xfId="1" applyNumberFormat="1" applyFont="1" applyFill="1" applyBorder="1" applyAlignment="1">
      <alignment horizontal="right"/>
    </xf>
    <xf numFmtId="0" fontId="61" fillId="2" borderId="8" xfId="0" applyFont="1" applyFill="1" applyBorder="1"/>
    <xf numFmtId="0" fontId="11" fillId="2" borderId="9" xfId="0" applyFont="1" applyFill="1" applyBorder="1"/>
    <xf numFmtId="0" fontId="12" fillId="2" borderId="21" xfId="0" applyFont="1" applyFill="1" applyBorder="1"/>
    <xf numFmtId="0" fontId="12" fillId="2" borderId="6" xfId="0" applyFont="1" applyFill="1" applyBorder="1"/>
    <xf numFmtId="168" fontId="11" fillId="2" borderId="21" xfId="4" applyNumberFormat="1" applyFont="1" applyFill="1" applyBorder="1" applyAlignment="1">
      <alignment horizontal="right"/>
    </xf>
    <xf numFmtId="165" fontId="11" fillId="2" borderId="12" xfId="1" applyNumberFormat="1" applyFont="1" applyFill="1" applyBorder="1"/>
    <xf numFmtId="165" fontId="11" fillId="2" borderId="0" xfId="4" applyNumberFormat="1" applyFont="1" applyFill="1" applyBorder="1"/>
    <xf numFmtId="0" fontId="59" fillId="2" borderId="20" xfId="0" applyFont="1" applyFill="1" applyBorder="1"/>
    <xf numFmtId="0" fontId="59" fillId="2" borderId="18" xfId="0" applyFont="1" applyFill="1" applyBorder="1"/>
    <xf numFmtId="0" fontId="11" fillId="2" borderId="16" xfId="0" applyFont="1" applyFill="1" applyBorder="1"/>
    <xf numFmtId="168" fontId="11" fillId="2" borderId="19" xfId="4" applyNumberFormat="1" applyFont="1" applyFill="1" applyBorder="1" applyAlignment="1">
      <alignment horizontal="right"/>
    </xf>
    <xf numFmtId="9" fontId="61" fillId="2" borderId="16" xfId="2" applyFont="1" applyFill="1" applyBorder="1" applyAlignment="1">
      <alignment horizontal="left"/>
    </xf>
    <xf numFmtId="169" fontId="61" fillId="2" borderId="16" xfId="1" applyNumberFormat="1" applyFont="1" applyFill="1" applyBorder="1" applyAlignment="1">
      <alignment horizontal="right"/>
    </xf>
    <xf numFmtId="0" fontId="61" fillId="2" borderId="16" xfId="0" applyFont="1" applyFill="1" applyBorder="1"/>
    <xf numFmtId="0" fontId="11" fillId="2" borderId="17" xfId="0" applyFont="1" applyFill="1" applyBorder="1"/>
    <xf numFmtId="168" fontId="11" fillId="2" borderId="16" xfId="4" applyNumberFormat="1" applyFont="1" applyFill="1" applyBorder="1"/>
    <xf numFmtId="169" fontId="61" fillId="2" borderId="7" xfId="1" applyNumberFormat="1" applyFont="1" applyFill="1" applyBorder="1" applyAlignment="1">
      <alignment horizontal="right"/>
    </xf>
    <xf numFmtId="169" fontId="61" fillId="2" borderId="10" xfId="1" applyNumberFormat="1" applyFont="1" applyFill="1" applyBorder="1" applyAlignment="1">
      <alignment horizontal="right"/>
    </xf>
    <xf numFmtId="165" fontId="11" fillId="6" borderId="10" xfId="1" applyNumberFormat="1" applyFont="1" applyFill="1" applyBorder="1"/>
    <xf numFmtId="0" fontId="12" fillId="2" borderId="7" xfId="0" applyFont="1" applyFill="1" applyBorder="1"/>
    <xf numFmtId="9" fontId="61" fillId="2" borderId="20" xfId="2" applyFont="1" applyFill="1" applyBorder="1" applyAlignment="1">
      <alignment horizontal="right"/>
    </xf>
    <xf numFmtId="9" fontId="61" fillId="2" borderId="18" xfId="2" applyFont="1" applyFill="1" applyBorder="1" applyAlignment="1">
      <alignment horizontal="right"/>
    </xf>
    <xf numFmtId="168" fontId="2" fillId="2" borderId="18" xfId="4" applyNumberFormat="1" applyFont="1" applyFill="1" applyBorder="1" applyAlignment="1">
      <alignment horizontal="right"/>
    </xf>
    <xf numFmtId="165" fontId="11" fillId="2" borderId="16" xfId="4" applyNumberFormat="1" applyFont="1" applyFill="1" applyBorder="1"/>
    <xf numFmtId="168" fontId="2" fillId="2" borderId="19" xfId="4" applyNumberFormat="1" applyFont="1" applyFill="1" applyBorder="1" applyAlignment="1">
      <alignment horizontal="right"/>
    </xf>
    <xf numFmtId="0" fontId="59" fillId="2" borderId="7" xfId="0" applyFont="1" applyFill="1" applyBorder="1"/>
    <xf numFmtId="168" fontId="11" fillId="2" borderId="10" xfId="4" applyNumberFormat="1" applyFont="1" applyFill="1" applyBorder="1"/>
    <xf numFmtId="9" fontId="61" fillId="2" borderId="20" xfId="2" applyFont="1" applyFill="1" applyBorder="1" applyAlignment="1">
      <alignment horizontal="left"/>
    </xf>
    <xf numFmtId="165" fontId="11" fillId="2" borderId="18" xfId="4" applyNumberFormat="1" applyFont="1" applyFill="1" applyBorder="1"/>
    <xf numFmtId="9" fontId="61" fillId="2" borderId="18" xfId="2" applyFont="1" applyFill="1" applyBorder="1" applyAlignment="1">
      <alignment horizontal="left"/>
    </xf>
    <xf numFmtId="9" fontId="61" fillId="2" borderId="19" xfId="2" applyFont="1" applyFill="1" applyBorder="1" applyAlignment="1">
      <alignment horizontal="left"/>
    </xf>
    <xf numFmtId="9" fontId="61" fillId="2" borderId="19" xfId="2" applyFont="1" applyFill="1" applyBorder="1" applyAlignment="1">
      <alignment horizontal="right"/>
    </xf>
    <xf numFmtId="0" fontId="64" fillId="2" borderId="0" xfId="0" applyFont="1" applyFill="1" applyBorder="1"/>
    <xf numFmtId="9" fontId="11" fillId="2" borderId="0" xfId="2" applyFont="1" applyFill="1" applyBorder="1" applyAlignment="1">
      <alignment horizontal="right"/>
    </xf>
    <xf numFmtId="165" fontId="64" fillId="2" borderId="0" xfId="1" applyNumberFormat="1" applyFont="1" applyFill="1" applyBorder="1"/>
    <xf numFmtId="168" fontId="12" fillId="2" borderId="8" xfId="4" applyNumberFormat="1" applyFont="1" applyFill="1" applyBorder="1"/>
    <xf numFmtId="168" fontId="11" fillId="2" borderId="6" xfId="4" applyNumberFormat="1" applyFont="1" applyFill="1" applyBorder="1"/>
    <xf numFmtId="165" fontId="81" fillId="6" borderId="0" xfId="5" applyNumberFormat="1" applyFont="1" applyFill="1" applyBorder="1" applyAlignment="1" applyProtection="1"/>
    <xf numFmtId="168" fontId="11" fillId="2" borderId="6" xfId="4" applyNumberFormat="1" applyFont="1" applyFill="1" applyBorder="1" applyAlignment="1">
      <alignment horizontal="right"/>
    </xf>
    <xf numFmtId="165" fontId="11" fillId="2" borderId="6" xfId="4" applyNumberFormat="1" applyFont="1" applyFill="1" applyBorder="1"/>
    <xf numFmtId="168" fontId="59" fillId="2" borderId="19" xfId="0" applyNumberFormat="1" applyFont="1" applyFill="1" applyBorder="1"/>
    <xf numFmtId="165" fontId="11" fillId="2" borderId="17" xfId="0" applyNumberFormat="1" applyFont="1" applyFill="1" applyBorder="1"/>
    <xf numFmtId="169" fontId="61" fillId="6" borderId="10" xfId="1" applyNumberFormat="1" applyFont="1" applyFill="1" applyBorder="1" applyAlignment="1">
      <alignment horizontal="right"/>
    </xf>
    <xf numFmtId="169" fontId="61" fillId="6" borderId="0" xfId="1" applyNumberFormat="1" applyFont="1" applyFill="1" applyBorder="1" applyAlignment="1">
      <alignment horizontal="right"/>
    </xf>
    <xf numFmtId="0" fontId="11" fillId="6" borderId="0" xfId="0" applyFont="1" applyFill="1" applyBorder="1"/>
    <xf numFmtId="0" fontId="11" fillId="6" borderId="11" xfId="0" applyFont="1" applyFill="1" applyBorder="1"/>
    <xf numFmtId="169" fontId="11" fillId="6" borderId="11" xfId="0" applyNumberFormat="1" applyFont="1" applyFill="1" applyBorder="1"/>
    <xf numFmtId="168" fontId="11" fillId="6" borderId="21" xfId="4" applyNumberFormat="1" applyFont="1" applyFill="1" applyBorder="1" applyAlignment="1">
      <alignment horizontal="right"/>
    </xf>
    <xf numFmtId="165" fontId="11" fillId="6" borderId="6" xfId="1" applyNumberFormat="1" applyFont="1" applyFill="1" applyBorder="1"/>
    <xf numFmtId="165" fontId="11" fillId="6" borderId="12" xfId="1" applyNumberFormat="1" applyFont="1" applyFill="1" applyBorder="1"/>
    <xf numFmtId="168" fontId="2" fillId="2" borderId="21" xfId="4" applyNumberFormat="1" applyFont="1" applyFill="1" applyBorder="1" applyAlignment="1">
      <alignment horizontal="right"/>
    </xf>
    <xf numFmtId="165" fontId="11" fillId="6" borderId="13" xfId="1" applyNumberFormat="1" applyFont="1" applyFill="1" applyBorder="1"/>
    <xf numFmtId="168" fontId="12" fillId="2" borderId="19" xfId="4" applyNumberFormat="1" applyFont="1" applyFill="1" applyBorder="1" applyAlignment="1">
      <alignment horizontal="right"/>
    </xf>
    <xf numFmtId="165" fontId="12" fillId="2" borderId="17" xfId="1" applyNumberFormat="1" applyFont="1" applyFill="1" applyBorder="1"/>
    <xf numFmtId="9" fontId="12" fillId="2" borderId="0" xfId="2" applyFont="1" applyFill="1" applyBorder="1"/>
    <xf numFmtId="168" fontId="12" fillId="2" borderId="8" xfId="0" applyNumberFormat="1" applyFont="1" applyFill="1" applyBorder="1"/>
    <xf numFmtId="168" fontId="12" fillId="2" borderId="16" xfId="2" applyNumberFormat="1" applyFont="1" applyFill="1" applyBorder="1" applyAlignment="1">
      <alignment horizontal="right"/>
    </xf>
    <xf numFmtId="165" fontId="11" fillId="2" borderId="10" xfId="1" applyNumberFormat="1" applyFont="1" applyFill="1" applyBorder="1"/>
    <xf numFmtId="165" fontId="11" fillId="2" borderId="13" xfId="1" applyNumberFormat="1" applyFont="1" applyFill="1" applyBorder="1"/>
    <xf numFmtId="44" fontId="11" fillId="2" borderId="0" xfId="4" applyFont="1" applyFill="1" applyBorder="1"/>
    <xf numFmtId="44" fontId="11" fillId="2" borderId="11" xfId="4" applyFont="1" applyFill="1" applyBorder="1"/>
    <xf numFmtId="168" fontId="11" fillId="2" borderId="11" xfId="4" applyNumberFormat="1" applyFont="1" applyFill="1" applyBorder="1"/>
    <xf numFmtId="168" fontId="11" fillId="2" borderId="17" xfId="4" applyNumberFormat="1" applyFont="1" applyFill="1" applyBorder="1"/>
    <xf numFmtId="44" fontId="61" fillId="2" borderId="0" xfId="4" applyFont="1" applyFill="1" applyBorder="1" applyAlignment="1">
      <alignment horizontal="right"/>
    </xf>
    <xf numFmtId="44" fontId="61" fillId="2" borderId="0" xfId="4" applyFont="1" applyFill="1" applyBorder="1"/>
    <xf numFmtId="168" fontId="11" fillId="2" borderId="15" xfId="4" applyNumberFormat="1" applyFont="1" applyFill="1" applyBorder="1"/>
    <xf numFmtId="168" fontId="11" fillId="2" borderId="12" xfId="4" applyNumberFormat="1" applyFont="1" applyFill="1" applyBorder="1"/>
    <xf numFmtId="168" fontId="61" fillId="2" borderId="16" xfId="4" applyNumberFormat="1" applyFont="1" applyFill="1" applyBorder="1" applyAlignment="1">
      <alignment horizontal="right"/>
    </xf>
    <xf numFmtId="168" fontId="61" fillId="2" borderId="16" xfId="4" applyNumberFormat="1" applyFont="1" applyFill="1" applyBorder="1"/>
    <xf numFmtId="168" fontId="12" fillId="2" borderId="17" xfId="4" applyNumberFormat="1" applyFont="1" applyFill="1" applyBorder="1"/>
    <xf numFmtId="165" fontId="64" fillId="2" borderId="0" xfId="1" applyNumberFormat="1" applyFont="1" applyFill="1"/>
    <xf numFmtId="0" fontId="13" fillId="3" borderId="11" xfId="0" applyFont="1" applyFill="1" applyBorder="1" applyAlignment="1"/>
    <xf numFmtId="0" fontId="11" fillId="2" borderId="20" xfId="0" applyFont="1" applyFill="1" applyBorder="1"/>
    <xf numFmtId="168" fontId="11" fillId="2" borderId="9" xfId="0" applyNumberFormat="1" applyFont="1" applyFill="1" applyBorder="1" applyAlignment="1">
      <alignment horizontal="left"/>
    </xf>
    <xf numFmtId="9" fontId="11" fillId="6" borderId="11" xfId="2" applyFont="1" applyFill="1" applyBorder="1"/>
    <xf numFmtId="168" fontId="11" fillId="2" borderId="11" xfId="0" applyNumberFormat="1" applyFont="1" applyFill="1" applyBorder="1" applyAlignment="1">
      <alignment horizontal="left"/>
    </xf>
    <xf numFmtId="168" fontId="11" fillId="2" borderId="11" xfId="0" applyNumberFormat="1" applyFont="1" applyFill="1" applyBorder="1" applyAlignment="1"/>
    <xf numFmtId="0" fontId="11" fillId="2" borderId="21" xfId="0" applyFont="1" applyFill="1" applyBorder="1"/>
    <xf numFmtId="165" fontId="11" fillId="2" borderId="12" xfId="1" applyNumberFormat="1" applyFont="1" applyFill="1" applyBorder="1" applyAlignment="1">
      <alignment horizontal="left"/>
    </xf>
    <xf numFmtId="0" fontId="2" fillId="2" borderId="10" xfId="1" applyNumberFormat="1" applyFont="1" applyFill="1" applyBorder="1" applyAlignment="1"/>
    <xf numFmtId="0" fontId="10" fillId="2" borderId="0" xfId="0" applyFont="1" applyFill="1" applyAlignment="1"/>
    <xf numFmtId="0" fontId="71" fillId="2" borderId="0" xfId="0" applyFont="1" applyFill="1" applyAlignment="1"/>
    <xf numFmtId="0" fontId="10" fillId="2" borderId="0" xfId="0" applyFont="1" applyFill="1" applyBorder="1" applyAlignment="1"/>
    <xf numFmtId="0" fontId="10" fillId="2" borderId="6" xfId="0" applyFont="1" applyFill="1" applyBorder="1" applyAlignment="1"/>
    <xf numFmtId="1" fontId="10" fillId="2" borderId="0" xfId="0" applyNumberFormat="1" applyFont="1" applyFill="1" applyAlignment="1"/>
    <xf numFmtId="0" fontId="10" fillId="0" borderId="0" xfId="0" applyFont="1" applyAlignment="1"/>
    <xf numFmtId="165" fontId="61" fillId="2" borderId="8" xfId="1" applyNumberFormat="1" applyFont="1" applyFill="1" applyBorder="1" applyAlignment="1">
      <alignment horizontal="right"/>
    </xf>
    <xf numFmtId="165" fontId="61" fillId="2" borderId="8" xfId="1" applyNumberFormat="1" applyFont="1" applyFill="1" applyBorder="1"/>
    <xf numFmtId="165" fontId="61" fillId="2" borderId="0" xfId="1" applyNumberFormat="1" applyFont="1" applyFill="1" applyBorder="1" applyAlignment="1">
      <alignment horizontal="right"/>
    </xf>
    <xf numFmtId="165" fontId="61" fillId="2" borderId="0" xfId="1" applyNumberFormat="1" applyFont="1" applyFill="1" applyBorder="1"/>
    <xf numFmtId="165" fontId="61" fillId="2" borderId="6" xfId="1" applyNumberFormat="1" applyFont="1" applyFill="1" applyBorder="1" applyAlignment="1">
      <alignment horizontal="right"/>
    </xf>
    <xf numFmtId="165" fontId="61" fillId="2" borderId="6" xfId="1" applyNumberFormat="1" applyFont="1" applyFill="1" applyBorder="1"/>
    <xf numFmtId="165" fontId="65" fillId="2" borderId="11" xfId="1" applyNumberFormat="1" applyFont="1" applyFill="1" applyBorder="1" applyAlignment="1">
      <alignment horizontal="right"/>
    </xf>
    <xf numFmtId="165" fontId="65" fillId="2" borderId="17" xfId="1" applyNumberFormat="1" applyFont="1" applyFill="1" applyBorder="1" applyAlignment="1">
      <alignment horizontal="right"/>
    </xf>
    <xf numFmtId="43" fontId="14" fillId="2" borderId="9" xfId="1" applyFont="1" applyFill="1" applyBorder="1" applyAlignment="1">
      <alignment horizontal="right"/>
    </xf>
    <xf numFmtId="168" fontId="11" fillId="9" borderId="0" xfId="4" applyNumberFormat="1" applyFont="1" applyFill="1" applyBorder="1"/>
    <xf numFmtId="166" fontId="10" fillId="2" borderId="20" xfId="2" applyNumberFormat="1" applyFont="1" applyFill="1" applyBorder="1"/>
    <xf numFmtId="166" fontId="10" fillId="2" borderId="21" xfId="2" applyNumberFormat="1" applyFont="1" applyFill="1" applyBorder="1"/>
    <xf numFmtId="166" fontId="14" fillId="2" borderId="19" xfId="2" applyNumberFormat="1" applyFont="1" applyFill="1" applyBorder="1"/>
    <xf numFmtId="166" fontId="10" fillId="2" borderId="18" xfId="2" applyNumberFormat="1" applyFont="1" applyFill="1" applyBorder="1"/>
    <xf numFmtId="166" fontId="14" fillId="2" borderId="18" xfId="2" applyNumberFormat="1" applyFont="1" applyFill="1" applyBorder="1"/>
    <xf numFmtId="9" fontId="14" fillId="2" borderId="19" xfId="2" applyFont="1" applyFill="1" applyBorder="1"/>
    <xf numFmtId="168" fontId="11" fillId="2" borderId="8" xfId="0" applyNumberFormat="1" applyFont="1" applyFill="1" applyBorder="1"/>
    <xf numFmtId="9" fontId="2" fillId="6" borderId="0" xfId="2" applyFont="1" applyFill="1" applyBorder="1" applyAlignment="1"/>
    <xf numFmtId="9" fontId="71" fillId="2" borderId="0" xfId="2" applyFont="1" applyFill="1"/>
    <xf numFmtId="9" fontId="71" fillId="2" borderId="0" xfId="2" applyNumberFormat="1" applyFont="1" applyFill="1"/>
    <xf numFmtId="0" fontId="34" fillId="5" borderId="11" xfId="0" applyFont="1" applyFill="1" applyBorder="1" applyAlignment="1">
      <alignment horizontal="left"/>
    </xf>
    <xf numFmtId="0" fontId="35" fillId="2" borderId="20" xfId="0" applyFont="1" applyFill="1" applyBorder="1" applyAlignment="1">
      <alignment horizontal="left"/>
    </xf>
    <xf numFmtId="0" fontId="35" fillId="2" borderId="18" xfId="4" applyNumberFormat="1" applyFont="1" applyFill="1" applyBorder="1" applyAlignment="1">
      <alignment horizontal="left"/>
    </xf>
    <xf numFmtId="168" fontId="35" fillId="2" borderId="21" xfId="4" applyNumberFormat="1" applyFont="1" applyFill="1" applyBorder="1" applyAlignment="1">
      <alignment horizontal="left"/>
    </xf>
    <xf numFmtId="168" fontId="42" fillId="2" borderId="17" xfId="4" applyNumberFormat="1" applyFont="1" applyFill="1" applyBorder="1" applyAlignment="1">
      <alignment horizontal="left"/>
    </xf>
    <xf numFmtId="0" fontId="34" fillId="2" borderId="0" xfId="0" applyFont="1" applyFill="1" applyBorder="1" applyAlignment="1">
      <alignment horizontal="left"/>
    </xf>
    <xf numFmtId="0" fontId="34" fillId="2" borderId="9" xfId="0" applyFont="1" applyFill="1" applyBorder="1" applyAlignment="1">
      <alignment horizontal="left"/>
    </xf>
    <xf numFmtId="168" fontId="35" fillId="2" borderId="11" xfId="4" applyNumberFormat="1" applyFont="1" applyFill="1" applyBorder="1" applyAlignment="1">
      <alignment horizontal="left"/>
    </xf>
    <xf numFmtId="168" fontId="35" fillId="2" borderId="0" xfId="4" applyNumberFormat="1" applyFont="1" applyFill="1" applyBorder="1" applyAlignment="1">
      <alignment horizontal="left"/>
    </xf>
    <xf numFmtId="0" fontId="35" fillId="2" borderId="0" xfId="0" applyFont="1" applyFill="1" applyAlignment="1">
      <alignment horizontal="left"/>
    </xf>
    <xf numFmtId="0" fontId="82" fillId="2" borderId="0" xfId="0" applyFont="1" applyFill="1" applyBorder="1" applyAlignment="1">
      <alignment horizontal="left" wrapText="1"/>
    </xf>
    <xf numFmtId="6" fontId="82" fillId="2" borderId="0" xfId="0" applyNumberFormat="1" applyFont="1" applyFill="1" applyBorder="1" applyAlignment="1">
      <alignment horizontal="right" wrapText="1"/>
    </xf>
    <xf numFmtId="9" fontId="11" fillId="2" borderId="0" xfId="2" applyFont="1" applyFill="1"/>
    <xf numFmtId="0" fontId="6" fillId="2" borderId="0" xfId="0" applyFont="1" applyFill="1" applyBorder="1"/>
    <xf numFmtId="9" fontId="6" fillId="2" borderId="0" xfId="2" applyFont="1" applyFill="1" applyBorder="1" applyAlignment="1">
      <alignment horizontal="left"/>
    </xf>
    <xf numFmtId="9" fontId="6" fillId="2" borderId="0" xfId="2" applyFont="1" applyFill="1" applyBorder="1" applyAlignment="1">
      <alignment horizontal="right"/>
    </xf>
    <xf numFmtId="169" fontId="6" fillId="2" borderId="0" xfId="1" applyNumberFormat="1" applyFont="1" applyFill="1" applyBorder="1" applyAlignment="1">
      <alignment horizontal="right"/>
    </xf>
    <xf numFmtId="0" fontId="13" fillId="3" borderId="9" xfId="0" applyFont="1" applyFill="1" applyBorder="1" applyAlignment="1"/>
    <xf numFmtId="0" fontId="13" fillId="2" borderId="0" xfId="0" applyFont="1" applyFill="1" applyBorder="1" applyAlignment="1"/>
    <xf numFmtId="0" fontId="11" fillId="2" borderId="0" xfId="0" applyFont="1" applyFill="1" applyBorder="1" applyAlignment="1">
      <alignment horizontal="right"/>
    </xf>
    <xf numFmtId="0" fontId="2" fillId="2" borderId="0" xfId="0" applyFont="1" applyFill="1" applyBorder="1" applyAlignment="1">
      <alignment horizontal="right"/>
    </xf>
    <xf numFmtId="168" fontId="10" fillId="2" borderId="9" xfId="0" applyNumberFormat="1" applyFont="1" applyFill="1" applyBorder="1" applyAlignment="1">
      <alignment horizontal="left"/>
    </xf>
    <xf numFmtId="165" fontId="2" fillId="2" borderId="0" xfId="0" applyNumberFormat="1" applyFont="1" applyFill="1" applyBorder="1"/>
    <xf numFmtId="168" fontId="10" fillId="2" borderId="11" xfId="0" applyNumberFormat="1" applyFont="1" applyFill="1" applyBorder="1" applyAlignment="1">
      <alignment horizontal="left"/>
    </xf>
    <xf numFmtId="170" fontId="6" fillId="2" borderId="0" xfId="1" applyNumberFormat="1" applyFont="1" applyFill="1" applyBorder="1" applyAlignment="1">
      <alignment horizontal="right"/>
    </xf>
    <xf numFmtId="9" fontId="11" fillId="2" borderId="11" xfId="2" applyNumberFormat="1" applyFont="1" applyFill="1" applyBorder="1"/>
    <xf numFmtId="166" fontId="11" fillId="2" borderId="11" xfId="2" applyNumberFormat="1" applyFont="1" applyFill="1" applyBorder="1"/>
    <xf numFmtId="165" fontId="64" fillId="2" borderId="0" xfId="0" applyNumberFormat="1" applyFont="1" applyFill="1" applyBorder="1"/>
    <xf numFmtId="165" fontId="11" fillId="2" borderId="0" xfId="1" applyNumberFormat="1" applyFont="1" applyFill="1" applyBorder="1" applyAlignment="1">
      <alignment horizontal="left"/>
    </xf>
    <xf numFmtId="0" fontId="65" fillId="3" borderId="8" xfId="0" applyFont="1" applyFill="1" applyBorder="1" applyAlignment="1">
      <alignment horizontal="right"/>
    </xf>
    <xf numFmtId="0" fontId="65" fillId="3" borderId="8" xfId="0" applyFont="1" applyFill="1" applyBorder="1" applyAlignment="1">
      <alignment horizontal="left"/>
    </xf>
    <xf numFmtId="0" fontId="66" fillId="2" borderId="0" xfId="0" applyFont="1" applyFill="1"/>
    <xf numFmtId="168" fontId="64" fillId="2" borderId="8" xfId="4" applyNumberFormat="1" applyFont="1" applyFill="1" applyBorder="1"/>
    <xf numFmtId="168" fontId="11" fillId="2" borderId="7" xfId="4" applyNumberFormat="1" applyFont="1" applyFill="1" applyBorder="1"/>
    <xf numFmtId="168" fontId="11" fillId="2" borderId="8" xfId="4" applyNumberFormat="1" applyFont="1" applyFill="1" applyBorder="1"/>
    <xf numFmtId="168" fontId="11" fillId="2" borderId="9" xfId="4" applyNumberFormat="1" applyFont="1" applyFill="1" applyBorder="1"/>
    <xf numFmtId="0" fontId="11" fillId="2" borderId="10" xfId="4" applyNumberFormat="1" applyFont="1" applyFill="1" applyBorder="1"/>
    <xf numFmtId="168" fontId="2" fillId="2" borderId="0" xfId="4" applyNumberFormat="1" applyFont="1" applyFill="1" applyBorder="1"/>
    <xf numFmtId="168" fontId="12" fillId="2" borderId="15" xfId="4" applyNumberFormat="1" applyFont="1" applyFill="1" applyBorder="1"/>
    <xf numFmtId="168" fontId="65" fillId="2" borderId="16" xfId="4" applyNumberFormat="1" applyFont="1" applyFill="1" applyBorder="1"/>
    <xf numFmtId="168" fontId="64" fillId="2" borderId="0" xfId="4" applyNumberFormat="1" applyFont="1" applyFill="1" applyBorder="1"/>
    <xf numFmtId="0" fontId="2" fillId="2" borderId="7" xfId="0" applyFont="1" applyFill="1" applyBorder="1"/>
    <xf numFmtId="168" fontId="2" fillId="2" borderId="9" xfId="4" applyNumberFormat="1" applyFont="1" applyFill="1" applyBorder="1"/>
    <xf numFmtId="0" fontId="2" fillId="2" borderId="10" xfId="4" applyNumberFormat="1" applyFont="1" applyFill="1" applyBorder="1"/>
    <xf numFmtId="168" fontId="2" fillId="2" borderId="11" xfId="4" applyNumberFormat="1" applyFont="1" applyFill="1" applyBorder="1"/>
    <xf numFmtId="168" fontId="63" fillId="2" borderId="15" xfId="4" applyNumberFormat="1" applyFont="1" applyFill="1" applyBorder="1"/>
    <xf numFmtId="168" fontId="63" fillId="2" borderId="17" xfId="4" applyNumberFormat="1" applyFont="1" applyFill="1" applyBorder="1"/>
    <xf numFmtId="0" fontId="64" fillId="2" borderId="0" xfId="0" applyFont="1" applyFill="1" applyAlignment="1">
      <alignment horizontal="right"/>
    </xf>
    <xf numFmtId="0" fontId="11" fillId="2" borderId="0" xfId="4" applyNumberFormat="1" applyFont="1" applyFill="1"/>
    <xf numFmtId="168" fontId="63" fillId="2" borderId="0" xfId="4" applyNumberFormat="1" applyFont="1" applyFill="1" applyBorder="1"/>
    <xf numFmtId="168" fontId="12" fillId="2" borderId="14" xfId="4" applyNumberFormat="1" applyFont="1" applyFill="1" applyBorder="1"/>
    <xf numFmtId="168" fontId="64" fillId="2" borderId="9" xfId="4" applyNumberFormat="1" applyFont="1" applyFill="1" applyBorder="1"/>
    <xf numFmtId="0" fontId="11" fillId="2" borderId="7" xfId="4" applyNumberFormat="1" applyFont="1" applyFill="1" applyBorder="1"/>
    <xf numFmtId="0" fontId="11" fillId="2" borderId="8" xfId="4" applyNumberFormat="1" applyFont="1" applyFill="1" applyBorder="1"/>
    <xf numFmtId="0" fontId="11" fillId="2" borderId="9" xfId="4" applyNumberFormat="1" applyFont="1" applyFill="1" applyBorder="1"/>
    <xf numFmtId="168" fontId="65" fillId="2" borderId="17" xfId="4" applyNumberFormat="1" applyFont="1" applyFill="1" applyBorder="1"/>
    <xf numFmtId="0" fontId="12" fillId="2" borderId="15" xfId="4" applyNumberFormat="1" applyFont="1" applyFill="1" applyBorder="1"/>
    <xf numFmtId="0" fontId="12" fillId="2" borderId="16" xfId="4" applyNumberFormat="1" applyFont="1" applyFill="1" applyBorder="1"/>
    <xf numFmtId="0" fontId="12" fillId="2" borderId="17" xfId="4" applyNumberFormat="1" applyFont="1" applyFill="1" applyBorder="1"/>
    <xf numFmtId="0" fontId="11" fillId="2" borderId="0" xfId="4" applyNumberFormat="1" applyFont="1" applyFill="1" applyBorder="1"/>
    <xf numFmtId="0" fontId="11" fillId="2" borderId="11" xfId="4" applyNumberFormat="1" applyFont="1" applyFill="1" applyBorder="1"/>
    <xf numFmtId="0" fontId="11" fillId="6" borderId="10" xfId="4" applyNumberFormat="1" applyFont="1" applyFill="1" applyBorder="1"/>
    <xf numFmtId="0" fontId="11" fillId="6" borderId="0" xfId="4" applyNumberFormat="1" applyFont="1" applyFill="1" applyBorder="1"/>
    <xf numFmtId="0" fontId="11" fillId="6" borderId="11" xfId="4" applyNumberFormat="1" applyFont="1" applyFill="1" applyBorder="1"/>
    <xf numFmtId="0" fontId="2" fillId="5" borderId="0" xfId="0" applyFont="1" applyFill="1" applyBorder="1" applyAlignment="1">
      <alignment horizontal="left"/>
    </xf>
    <xf numFmtId="0" fontId="64" fillId="2" borderId="8" xfId="0" applyFont="1" applyFill="1" applyBorder="1" applyAlignment="1">
      <alignment horizontal="left"/>
    </xf>
    <xf numFmtId="0" fontId="64" fillId="2" borderId="0" xfId="4" applyNumberFormat="1" applyFont="1" applyFill="1" applyBorder="1" applyAlignment="1">
      <alignment horizontal="left"/>
    </xf>
    <xf numFmtId="168" fontId="65" fillId="2" borderId="16" xfId="4" applyNumberFormat="1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168" fontId="64" fillId="2" borderId="0" xfId="4" applyNumberFormat="1" applyFont="1" applyFill="1" applyBorder="1" applyAlignment="1">
      <alignment horizontal="left"/>
    </xf>
    <xf numFmtId="168" fontId="63" fillId="2" borderId="16" xfId="4" applyNumberFormat="1" applyFont="1" applyFill="1" applyBorder="1" applyAlignment="1">
      <alignment horizontal="left"/>
    </xf>
    <xf numFmtId="0" fontId="64" fillId="2" borderId="0" xfId="0" applyFont="1" applyFill="1" applyAlignment="1">
      <alignment horizontal="left"/>
    </xf>
    <xf numFmtId="168" fontId="63" fillId="2" borderId="0" xfId="4" applyNumberFormat="1" applyFont="1" applyFill="1" applyBorder="1" applyAlignment="1">
      <alignment horizontal="left"/>
    </xf>
    <xf numFmtId="169" fontId="2" fillId="2" borderId="0" xfId="0" applyNumberFormat="1" applyFont="1" applyFill="1"/>
    <xf numFmtId="0" fontId="66" fillId="3" borderId="0" xfId="0" applyFont="1" applyFill="1" applyBorder="1" applyAlignment="1">
      <alignment horizontal="right"/>
    </xf>
    <xf numFmtId="165" fontId="2" fillId="6" borderId="11" xfId="1" applyNumberFormat="1" applyFont="1" applyFill="1" applyBorder="1"/>
    <xf numFmtId="165" fontId="11" fillId="6" borderId="20" xfId="1" applyNumberFormat="1" applyFont="1" applyFill="1" applyBorder="1"/>
    <xf numFmtId="165" fontId="11" fillId="6" borderId="18" xfId="1" applyNumberFormat="1" applyFont="1" applyFill="1" applyBorder="1"/>
    <xf numFmtId="168" fontId="64" fillId="2" borderId="8" xfId="4" applyNumberFormat="1" applyFont="1" applyFill="1" applyBorder="1" applyAlignment="1">
      <alignment horizontal="left"/>
    </xf>
    <xf numFmtId="168" fontId="2" fillId="2" borderId="20" xfId="4" applyNumberFormat="1" applyFont="1" applyFill="1" applyBorder="1"/>
    <xf numFmtId="166" fontId="11" fillId="2" borderId="20" xfId="2" applyNumberFormat="1" applyFont="1" applyFill="1" applyBorder="1"/>
    <xf numFmtId="165" fontId="64" fillId="2" borderId="20" xfId="1" applyNumberFormat="1" applyFont="1" applyFill="1" applyBorder="1"/>
    <xf numFmtId="168" fontId="2" fillId="2" borderId="18" xfId="4" applyNumberFormat="1" applyFont="1" applyFill="1" applyBorder="1"/>
    <xf numFmtId="166" fontId="11" fillId="2" borderId="18" xfId="2" applyNumberFormat="1" applyFont="1" applyFill="1" applyBorder="1"/>
    <xf numFmtId="165" fontId="64" fillId="2" borderId="18" xfId="1" applyNumberFormat="1" applyFont="1" applyFill="1" applyBorder="1"/>
    <xf numFmtId="168" fontId="2" fillId="2" borderId="21" xfId="4" applyNumberFormat="1" applyFont="1" applyFill="1" applyBorder="1"/>
    <xf numFmtId="166" fontId="11" fillId="2" borderId="21" xfId="2" applyNumberFormat="1" applyFont="1" applyFill="1" applyBorder="1"/>
    <xf numFmtId="9" fontId="12" fillId="2" borderId="19" xfId="2" applyFont="1" applyFill="1" applyBorder="1"/>
    <xf numFmtId="0" fontId="12" fillId="7" borderId="10" xfId="0" applyFont="1" applyFill="1" applyBorder="1"/>
    <xf numFmtId="0" fontId="12" fillId="7" borderId="0" xfId="0" applyFont="1" applyFill="1" applyBorder="1"/>
    <xf numFmtId="168" fontId="12" fillId="7" borderId="0" xfId="4" applyNumberFormat="1" applyFont="1" applyFill="1" applyBorder="1"/>
    <xf numFmtId="9" fontId="12" fillId="7" borderId="0" xfId="2" applyFont="1" applyFill="1" applyBorder="1"/>
    <xf numFmtId="9" fontId="12" fillId="7" borderId="11" xfId="2" applyFont="1" applyFill="1" applyBorder="1"/>
    <xf numFmtId="168" fontId="12" fillId="2" borderId="7" xfId="4" applyNumberFormat="1" applyFont="1" applyFill="1" applyBorder="1"/>
    <xf numFmtId="9" fontId="11" fillId="2" borderId="8" xfId="2" applyFont="1" applyFill="1" applyBorder="1"/>
    <xf numFmtId="9" fontId="11" fillId="2" borderId="20" xfId="2" applyFont="1" applyFill="1" applyBorder="1"/>
    <xf numFmtId="168" fontId="12" fillId="2" borderId="10" xfId="4" applyNumberFormat="1" applyFont="1" applyFill="1" applyBorder="1"/>
    <xf numFmtId="9" fontId="11" fillId="2" borderId="0" xfId="2" applyFont="1" applyFill="1" applyBorder="1"/>
    <xf numFmtId="9" fontId="11" fillId="2" borderId="18" xfId="2" applyFont="1" applyFill="1" applyBorder="1"/>
    <xf numFmtId="9" fontId="12" fillId="2" borderId="18" xfId="2" applyFont="1" applyFill="1" applyBorder="1"/>
    <xf numFmtId="168" fontId="12" fillId="2" borderId="13" xfId="4" applyNumberFormat="1" applyFont="1" applyFill="1" applyBorder="1"/>
    <xf numFmtId="9" fontId="11" fillId="2" borderId="6" xfId="2" applyFont="1" applyFill="1" applyBorder="1"/>
    <xf numFmtId="9" fontId="11" fillId="2" borderId="21" xfId="2" applyFont="1" applyFill="1" applyBorder="1"/>
    <xf numFmtId="168" fontId="12" fillId="2" borderId="0" xfId="4" applyNumberFormat="1" applyFont="1" applyFill="1"/>
    <xf numFmtId="0" fontId="13" fillId="3" borderId="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right"/>
    </xf>
    <xf numFmtId="168" fontId="11" fillId="6" borderId="20" xfId="4" applyNumberFormat="1" applyFont="1" applyFill="1" applyBorder="1"/>
    <xf numFmtId="168" fontId="11" fillId="2" borderId="7" xfId="0" applyNumberFormat="1" applyFont="1" applyFill="1" applyBorder="1"/>
    <xf numFmtId="165" fontId="2" fillId="2" borderId="9" xfId="0" applyNumberFormat="1" applyFont="1" applyFill="1" applyBorder="1"/>
    <xf numFmtId="168" fontId="11" fillId="6" borderId="18" xfId="4" applyNumberFormat="1" applyFont="1" applyFill="1" applyBorder="1"/>
    <xf numFmtId="168" fontId="11" fillId="2" borderId="10" xfId="0" applyNumberFormat="1" applyFont="1" applyFill="1" applyBorder="1"/>
    <xf numFmtId="165" fontId="2" fillId="2" borderId="11" xfId="0" applyNumberFormat="1" applyFont="1" applyFill="1" applyBorder="1"/>
    <xf numFmtId="168" fontId="11" fillId="6" borderId="21" xfId="4" applyNumberFormat="1" applyFont="1" applyFill="1" applyBorder="1"/>
    <xf numFmtId="168" fontId="11" fillId="2" borderId="13" xfId="0" applyNumberFormat="1" applyFont="1" applyFill="1" applyBorder="1"/>
    <xf numFmtId="168" fontId="11" fillId="2" borderId="6" xfId="0" applyNumberFormat="1" applyFont="1" applyFill="1" applyBorder="1"/>
    <xf numFmtId="165" fontId="2" fillId="2" borderId="12" xfId="0" applyNumberFormat="1" applyFont="1" applyFill="1" applyBorder="1"/>
    <xf numFmtId="0" fontId="64" fillId="2" borderId="11" xfId="0" applyFont="1" applyFill="1" applyBorder="1"/>
    <xf numFmtId="9" fontId="2" fillId="6" borderId="0" xfId="2" applyFont="1" applyFill="1" applyBorder="1"/>
    <xf numFmtId="168" fontId="2" fillId="2" borderId="0" xfId="0" applyNumberFormat="1" applyFont="1" applyFill="1" applyBorder="1"/>
    <xf numFmtId="165" fontId="64" fillId="2" borderId="6" xfId="0" applyNumberFormat="1" applyFont="1" applyFill="1" applyBorder="1"/>
    <xf numFmtId="0" fontId="64" fillId="2" borderId="12" xfId="0" applyFont="1" applyFill="1" applyBorder="1"/>
    <xf numFmtId="168" fontId="11" fillId="5" borderId="0" xfId="4" applyNumberFormat="1" applyFont="1" applyFill="1" applyBorder="1"/>
    <xf numFmtId="17" fontId="11" fillId="5" borderId="11" xfId="0" applyNumberFormat="1" applyFont="1" applyFill="1" applyBorder="1"/>
    <xf numFmtId="168" fontId="11" fillId="2" borderId="9" xfId="0" applyNumberFormat="1" applyFont="1" applyFill="1" applyBorder="1"/>
    <xf numFmtId="168" fontId="11" fillId="2" borderId="11" xfId="0" applyNumberFormat="1" applyFont="1" applyFill="1" applyBorder="1"/>
    <xf numFmtId="168" fontId="11" fillId="2" borderId="12" xfId="0" applyNumberFormat="1" applyFont="1" applyFill="1" applyBorder="1"/>
    <xf numFmtId="0" fontId="65" fillId="2" borderId="16" xfId="0" applyFont="1" applyFill="1" applyBorder="1"/>
    <xf numFmtId="0" fontId="2" fillId="5" borderId="0" xfId="0" applyFont="1" applyFill="1" applyBorder="1"/>
    <xf numFmtId="0" fontId="11" fillId="2" borderId="7" xfId="0" applyFont="1" applyFill="1" applyBorder="1"/>
    <xf numFmtId="168" fontId="64" fillId="2" borderId="6" xfId="4" applyNumberFormat="1" applyFont="1" applyFill="1" applyBorder="1"/>
    <xf numFmtId="0" fontId="64" fillId="2" borderId="8" xfId="0" applyFont="1" applyFill="1" applyBorder="1"/>
    <xf numFmtId="0" fontId="64" fillId="2" borderId="9" xfId="0" applyFont="1" applyFill="1" applyBorder="1"/>
    <xf numFmtId="168" fontId="11" fillId="2" borderId="18" xfId="0" applyNumberFormat="1" applyFont="1" applyFill="1" applyBorder="1"/>
    <xf numFmtId="168" fontId="64" fillId="2" borderId="0" xfId="0" applyNumberFormat="1" applyFont="1" applyFill="1" applyBorder="1"/>
    <xf numFmtId="168" fontId="64" fillId="2" borderId="11" xfId="0" applyNumberFormat="1" applyFont="1" applyFill="1" applyBorder="1"/>
    <xf numFmtId="168" fontId="11" fillId="2" borderId="21" xfId="0" applyNumberFormat="1" applyFont="1" applyFill="1" applyBorder="1"/>
    <xf numFmtId="168" fontId="64" fillId="2" borderId="6" xfId="0" applyNumberFormat="1" applyFont="1" applyFill="1" applyBorder="1"/>
    <xf numFmtId="44" fontId="64" fillId="2" borderId="12" xfId="0" applyNumberFormat="1" applyFont="1" applyFill="1" applyBorder="1"/>
    <xf numFmtId="44" fontId="64" fillId="2" borderId="0" xfId="0" applyNumberFormat="1" applyFont="1" applyFill="1" applyBorder="1"/>
    <xf numFmtId="168" fontId="64" fillId="2" borderId="12" xfId="0" applyNumberFormat="1" applyFont="1" applyFill="1" applyBorder="1"/>
    <xf numFmtId="168" fontId="64" fillId="2" borderId="8" xfId="0" applyNumberFormat="1" applyFont="1" applyFill="1" applyBorder="1"/>
    <xf numFmtId="0" fontId="11" fillId="2" borderId="10" xfId="0" applyFont="1" applyFill="1" applyBorder="1" applyAlignment="1">
      <alignment horizontal="left" indent="1"/>
    </xf>
    <xf numFmtId="0" fontId="11" fillId="2" borderId="13" xfId="0" applyFont="1" applyFill="1" applyBorder="1" applyAlignment="1">
      <alignment horizontal="left" indent="1"/>
    </xf>
    <xf numFmtId="42" fontId="11" fillId="2" borderId="0" xfId="0" applyNumberFormat="1" applyFont="1" applyFill="1"/>
    <xf numFmtId="0" fontId="12" fillId="2" borderId="17" xfId="0" applyFont="1" applyFill="1" applyBorder="1"/>
    <xf numFmtId="0" fontId="11" fillId="6" borderId="6" xfId="0" applyFont="1" applyFill="1" applyBorder="1"/>
    <xf numFmtId="0" fontId="67" fillId="2" borderId="10" xfId="0" applyFont="1" applyFill="1" applyBorder="1" applyAlignment="1">
      <alignment horizontal="left"/>
    </xf>
    <xf numFmtId="0" fontId="64" fillId="2" borderId="15" xfId="0" applyFont="1" applyFill="1" applyBorder="1"/>
    <xf numFmtId="0" fontId="64" fillId="2" borderId="16" xfId="0" applyFont="1" applyFill="1" applyBorder="1"/>
    <xf numFmtId="0" fontId="64" fillId="2" borderId="7" xfId="0" applyFont="1" applyFill="1" applyBorder="1"/>
    <xf numFmtId="0" fontId="64" fillId="2" borderId="10" xfId="0" applyFont="1" applyFill="1" applyBorder="1"/>
    <xf numFmtId="0" fontId="64" fillId="2" borderId="13" xfId="0" applyFont="1" applyFill="1" applyBorder="1"/>
    <xf numFmtId="0" fontId="64" fillId="2" borderId="6" xfId="0" applyFont="1" applyFill="1" applyBorder="1"/>
    <xf numFmtId="43" fontId="27" fillId="2" borderId="0" xfId="0" applyNumberFormat="1" applyFont="1" applyFill="1"/>
    <xf numFmtId="165" fontId="28" fillId="3" borderId="8" xfId="1" applyNumberFormat="1" applyFont="1" applyFill="1" applyBorder="1" applyAlignment="1">
      <alignment horizontal="left"/>
    </xf>
    <xf numFmtId="165" fontId="11" fillId="5" borderId="0" xfId="1" applyNumberFormat="1" applyFont="1" applyFill="1" applyBorder="1"/>
    <xf numFmtId="168" fontId="64" fillId="2" borderId="0" xfId="0" applyNumberFormat="1" applyFont="1" applyFill="1"/>
    <xf numFmtId="168" fontId="42" fillId="2" borderId="0" xfId="4" applyNumberFormat="1" applyFont="1" applyFill="1" applyBorder="1" applyAlignment="1">
      <alignment horizontal="left"/>
    </xf>
    <xf numFmtId="165" fontId="64" fillId="2" borderId="19" xfId="1" applyNumberFormat="1" applyFont="1" applyFill="1" applyBorder="1"/>
    <xf numFmtId="0" fontId="2" fillId="2" borderId="0" xfId="4" applyNumberFormat="1" applyFont="1" applyFill="1" applyBorder="1"/>
    <xf numFmtId="0" fontId="12" fillId="2" borderId="8" xfId="4" applyNumberFormat="1" applyFont="1" applyFill="1" applyBorder="1"/>
    <xf numFmtId="168" fontId="12" fillId="2" borderId="9" xfId="4" applyNumberFormat="1" applyFont="1" applyFill="1" applyBorder="1"/>
    <xf numFmtId="0" fontId="12" fillId="2" borderId="0" xfId="4" applyNumberFormat="1" applyFont="1" applyFill="1" applyBorder="1"/>
    <xf numFmtId="0" fontId="13" fillId="2" borderId="0" xfId="0" applyFont="1" applyFill="1" applyBorder="1" applyAlignment="1">
      <alignment horizontal="left"/>
    </xf>
    <xf numFmtId="0" fontId="63" fillId="5" borderId="0" xfId="0" applyFont="1" applyFill="1" applyBorder="1" applyAlignment="1">
      <alignment horizontal="left"/>
    </xf>
    <xf numFmtId="0" fontId="13" fillId="5" borderId="0" xfId="0" applyFont="1" applyFill="1" applyBorder="1" applyAlignment="1">
      <alignment horizontal="left"/>
    </xf>
    <xf numFmtId="168" fontId="11" fillId="2" borderId="13" xfId="4" applyNumberFormat="1" applyFont="1" applyFill="1" applyBorder="1"/>
    <xf numFmtId="0" fontId="67" fillId="2" borderId="20" xfId="0" applyFont="1" applyFill="1" applyBorder="1"/>
    <xf numFmtId="0" fontId="11" fillId="2" borderId="16" xfId="0" applyFont="1" applyFill="1" applyBorder="1" applyAlignment="1">
      <alignment horizontal="right"/>
    </xf>
    <xf numFmtId="0" fontId="11" fillId="2" borderId="17" xfId="0" applyFont="1" applyFill="1" applyBorder="1" applyAlignment="1">
      <alignment horizontal="right"/>
    </xf>
    <xf numFmtId="165" fontId="27" fillId="2" borderId="0" xfId="1" applyNumberFormat="1" applyFont="1" applyFill="1" applyBorder="1" applyAlignment="1">
      <alignment horizontal="right"/>
    </xf>
    <xf numFmtId="9" fontId="12" fillId="2" borderId="0" xfId="2" applyFont="1" applyFill="1"/>
    <xf numFmtId="0" fontId="11" fillId="2" borderId="0" xfId="0" applyFont="1" applyFill="1" applyBorder="1" applyAlignment="1">
      <alignment horizontal="left" indent="1"/>
    </xf>
    <xf numFmtId="168" fontId="11" fillId="2" borderId="0" xfId="0" applyNumberFormat="1" applyFont="1" applyFill="1"/>
    <xf numFmtId="165" fontId="0" fillId="6" borderId="0" xfId="1" applyNumberFormat="1" applyFont="1" applyFill="1" applyBorder="1"/>
    <xf numFmtId="0" fontId="0" fillId="6" borderId="0" xfId="1" applyNumberFormat="1" applyFont="1" applyFill="1" applyBorder="1" applyAlignment="1">
      <alignment horizontal="right"/>
    </xf>
    <xf numFmtId="0" fontId="0" fillId="6" borderId="0" xfId="1" applyNumberFormat="1" applyFont="1" applyFill="1" applyBorder="1"/>
    <xf numFmtId="0" fontId="0" fillId="6" borderId="11" xfId="1" applyNumberFormat="1" applyFont="1" applyFill="1" applyBorder="1"/>
    <xf numFmtId="0" fontId="5" fillId="3" borderId="9" xfId="0" applyFont="1" applyFill="1" applyBorder="1" applyAlignment="1">
      <alignment horizontal="right"/>
    </xf>
    <xf numFmtId="166" fontId="11" fillId="6" borderId="10" xfId="2" applyNumberFormat="1" applyFont="1" applyFill="1" applyBorder="1"/>
    <xf numFmtId="166" fontId="11" fillId="6" borderId="0" xfId="2" applyNumberFormat="1" applyFont="1" applyFill="1" applyBorder="1"/>
    <xf numFmtId="166" fontId="11" fillId="6" borderId="11" xfId="2" applyNumberFormat="1" applyFont="1" applyFill="1" applyBorder="1"/>
    <xf numFmtId="9" fontId="11" fillId="2" borderId="10" xfId="2" applyFont="1" applyFill="1" applyBorder="1"/>
    <xf numFmtId="9" fontId="11" fillId="6" borderId="10" xfId="4" applyNumberFormat="1" applyFont="1" applyFill="1" applyBorder="1"/>
    <xf numFmtId="166" fontId="12" fillId="2" borderId="15" xfId="2" applyNumberFormat="1" applyFont="1" applyFill="1" applyBorder="1"/>
    <xf numFmtId="166" fontId="12" fillId="2" borderId="16" xfId="2" applyNumberFormat="1" applyFont="1" applyFill="1" applyBorder="1"/>
    <xf numFmtId="166" fontId="12" fillId="2" borderId="17" xfId="2" applyNumberFormat="1" applyFont="1" applyFill="1" applyBorder="1"/>
    <xf numFmtId="165" fontId="64" fillId="2" borderId="9" xfId="1" applyNumberFormat="1" applyFont="1" applyFill="1" applyBorder="1" applyAlignment="1">
      <alignment horizontal="left"/>
    </xf>
    <xf numFmtId="175" fontId="11" fillId="2" borderId="0" xfId="1" applyNumberFormat="1" applyFont="1" applyFill="1" applyBorder="1"/>
    <xf numFmtId="9" fontId="0" fillId="2" borderId="0" xfId="2" applyFont="1" applyFill="1"/>
    <xf numFmtId="0" fontId="71" fillId="2" borderId="0" xfId="0" applyFont="1" applyFill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9" fontId="26" fillId="2" borderId="16" xfId="2" applyFont="1" applyFill="1" applyBorder="1"/>
    <xf numFmtId="0" fontId="9" fillId="2" borderId="0" xfId="0" applyFont="1" applyFill="1"/>
    <xf numFmtId="0" fontId="69" fillId="2" borderId="0" xfId="0" applyFont="1" applyFill="1"/>
    <xf numFmtId="169" fontId="9" fillId="2" borderId="0" xfId="1" applyNumberFormat="1" applyFont="1" applyFill="1" applyBorder="1" applyAlignment="1">
      <alignment horizontal="right"/>
    </xf>
    <xf numFmtId="0" fontId="9" fillId="2" borderId="38" xfId="0" applyFont="1" applyFill="1" applyBorder="1"/>
    <xf numFmtId="0" fontId="9" fillId="2" borderId="39" xfId="0" applyFont="1" applyFill="1" applyBorder="1"/>
    <xf numFmtId="169" fontId="9" fillId="2" borderId="39" xfId="1" applyNumberFormat="1" applyFont="1" applyFill="1" applyBorder="1" applyAlignment="1">
      <alignment horizontal="right"/>
    </xf>
    <xf numFmtId="169" fontId="9" fillId="2" borderId="40" xfId="1" applyNumberFormat="1" applyFont="1" applyFill="1" applyBorder="1" applyAlignment="1">
      <alignment horizontal="right"/>
    </xf>
    <xf numFmtId="0" fontId="6" fillId="2" borderId="23" xfId="0" applyFont="1" applyFill="1" applyBorder="1"/>
    <xf numFmtId="0" fontId="6" fillId="2" borderId="25" xfId="0" applyFont="1" applyFill="1" applyBorder="1"/>
    <xf numFmtId="0" fontId="9" fillId="2" borderId="27" xfId="0" applyFont="1" applyFill="1" applyBorder="1"/>
    <xf numFmtId="0" fontId="9" fillId="2" borderId="28" xfId="0" applyFont="1" applyFill="1" applyBorder="1"/>
    <xf numFmtId="0" fontId="6" fillId="2" borderId="29" xfId="0" applyFont="1" applyFill="1" applyBorder="1"/>
    <xf numFmtId="0" fontId="6" fillId="2" borderId="24" xfId="0" applyFont="1" applyFill="1" applyBorder="1"/>
    <xf numFmtId="0" fontId="9" fillId="2" borderId="2" xfId="0" applyFont="1" applyFill="1" applyBorder="1"/>
    <xf numFmtId="0" fontId="9" fillId="2" borderId="44" xfId="0" applyFont="1" applyFill="1" applyBorder="1"/>
    <xf numFmtId="0" fontId="9" fillId="2" borderId="45" xfId="0" applyFont="1" applyFill="1" applyBorder="1"/>
    <xf numFmtId="165" fontId="6" fillId="2" borderId="41" xfId="1" applyNumberFormat="1" applyFont="1" applyFill="1" applyBorder="1" applyAlignment="1">
      <alignment horizontal="right"/>
    </xf>
    <xf numFmtId="165" fontId="9" fillId="2" borderId="42" xfId="1" applyNumberFormat="1" applyFont="1" applyFill="1" applyBorder="1" applyAlignment="1">
      <alignment horizontal="right"/>
    </xf>
    <xf numFmtId="165" fontId="2" fillId="2" borderId="0" xfId="1" applyNumberFormat="1" applyFont="1" applyFill="1" applyAlignment="1">
      <alignment horizontal="right"/>
    </xf>
    <xf numFmtId="165" fontId="9" fillId="2" borderId="39" xfId="1" applyNumberFormat="1" applyFont="1" applyFill="1" applyBorder="1" applyAlignment="1">
      <alignment horizontal="right"/>
    </xf>
    <xf numFmtId="165" fontId="6" fillId="2" borderId="43" xfId="1" applyNumberFormat="1" applyFont="1" applyFill="1" applyBorder="1" applyAlignment="1">
      <alignment horizontal="right"/>
    </xf>
    <xf numFmtId="165" fontId="9" fillId="2" borderId="0" xfId="1" applyNumberFormat="1" applyFont="1" applyFill="1" applyBorder="1" applyAlignment="1">
      <alignment horizontal="right"/>
    </xf>
    <xf numFmtId="165" fontId="9" fillId="2" borderId="46" xfId="1" applyNumberFormat="1" applyFont="1" applyFill="1" applyBorder="1" applyAlignment="1">
      <alignment horizontal="right"/>
    </xf>
    <xf numFmtId="0" fontId="83" fillId="2" borderId="0" xfId="0" applyFont="1" applyFill="1"/>
    <xf numFmtId="0" fontId="84" fillId="3" borderId="7" xfId="0" applyFont="1" applyFill="1" applyBorder="1" applyAlignment="1">
      <alignment horizontal="left"/>
    </xf>
    <xf numFmtId="0" fontId="85" fillId="2" borderId="8" xfId="0" applyFont="1" applyFill="1" applyBorder="1"/>
    <xf numFmtId="0" fontId="87" fillId="2" borderId="0" xfId="0" applyFont="1" applyFill="1" applyAlignment="1"/>
    <xf numFmtId="0" fontId="88" fillId="2" borderId="0" xfId="0" applyFont="1" applyFill="1"/>
    <xf numFmtId="0" fontId="88" fillId="0" borderId="0" xfId="0" applyFont="1"/>
    <xf numFmtId="165" fontId="64" fillId="2" borderId="0" xfId="1" applyNumberFormat="1" applyFont="1" applyFill="1" applyAlignment="1">
      <alignment horizontal="right"/>
    </xf>
    <xf numFmtId="168" fontId="63" fillId="2" borderId="6" xfId="0" applyNumberFormat="1" applyFont="1" applyFill="1" applyBorder="1"/>
    <xf numFmtId="9" fontId="2" fillId="6" borderId="6" xfId="2" applyFont="1" applyFill="1" applyBorder="1" applyAlignment="1"/>
    <xf numFmtId="9" fontId="2" fillId="6" borderId="11" xfId="2" applyFont="1" applyFill="1" applyBorder="1" applyAlignment="1"/>
    <xf numFmtId="9" fontId="2" fillId="6" borderId="12" xfId="2" applyFont="1" applyFill="1" applyBorder="1" applyAlignment="1"/>
    <xf numFmtId="0" fontId="8" fillId="2" borderId="1" xfId="0" applyFont="1" applyFill="1" applyBorder="1" applyAlignment="1">
      <alignment horizontal="right"/>
    </xf>
    <xf numFmtId="0" fontId="34" fillId="2" borderId="0" xfId="0" applyFont="1" applyFill="1" applyAlignment="1">
      <alignment horizontal="right"/>
    </xf>
    <xf numFmtId="0" fontId="89" fillId="2" borderId="0" xfId="0" applyFont="1" applyFill="1" applyAlignment="1">
      <alignment horizontal="right"/>
    </xf>
    <xf numFmtId="0" fontId="2" fillId="2" borderId="10" xfId="0" applyFont="1" applyFill="1" applyBorder="1" applyAlignment="1">
      <alignment horizontal="right"/>
    </xf>
    <xf numFmtId="0" fontId="2" fillId="2" borderId="18" xfId="0" applyFont="1" applyFill="1" applyBorder="1" applyAlignment="1">
      <alignment horizontal="right"/>
    </xf>
    <xf numFmtId="0" fontId="90" fillId="2" borderId="10" xfId="0" applyFont="1" applyFill="1" applyBorder="1" applyAlignment="1">
      <alignment horizontal="right"/>
    </xf>
    <xf numFmtId="0" fontId="45" fillId="2" borderId="1" xfId="5" applyFill="1" applyBorder="1" applyAlignment="1" applyProtection="1"/>
    <xf numFmtId="0" fontId="45" fillId="2" borderId="2" xfId="5" applyFill="1" applyBorder="1" applyAlignment="1" applyProtection="1"/>
    <xf numFmtId="0" fontId="52" fillId="2" borderId="1" xfId="5" applyFont="1" applyFill="1" applyBorder="1" applyAlignment="1" applyProtection="1"/>
    <xf numFmtId="0" fontId="52" fillId="2" borderId="2" xfId="5" applyFont="1" applyFill="1" applyBorder="1" applyAlignment="1" applyProtection="1"/>
    <xf numFmtId="165" fontId="64" fillId="2" borderId="0" xfId="0" applyNumberFormat="1" applyFont="1" applyFill="1"/>
    <xf numFmtId="0" fontId="0" fillId="2" borderId="0" xfId="0" applyFill="1" applyAlignment="1">
      <alignment wrapText="1"/>
    </xf>
    <xf numFmtId="17" fontId="11" fillId="2" borderId="0" xfId="0" applyNumberFormat="1" applyFont="1" applyFill="1" applyAlignment="1">
      <alignment horizontal="right"/>
    </xf>
    <xf numFmtId="165" fontId="11" fillId="2" borderId="0" xfId="1" applyNumberFormat="1" applyFont="1" applyFill="1" applyAlignment="1">
      <alignment horizontal="right"/>
    </xf>
    <xf numFmtId="9" fontId="10" fillId="6" borderId="0" xfId="2" applyFont="1" applyFill="1"/>
    <xf numFmtId="0" fontId="6" fillId="2" borderId="1" xfId="0" applyFont="1" applyFill="1" applyBorder="1" applyAlignment="1">
      <alignment horizontal="center"/>
    </xf>
    <xf numFmtId="37" fontId="11" fillId="2" borderId="0" xfId="4" applyNumberFormat="1" applyFont="1" applyFill="1"/>
    <xf numFmtId="37" fontId="11" fillId="2" borderId="6" xfId="4" applyNumberFormat="1" applyFont="1" applyFill="1" applyBorder="1"/>
    <xf numFmtId="37" fontId="12" fillId="2" borderId="0" xfId="4" applyNumberFormat="1" applyFont="1" applyFill="1"/>
    <xf numFmtId="37" fontId="12" fillId="2" borderId="8" xfId="4" applyNumberFormat="1" applyFont="1" applyFill="1" applyBorder="1"/>
    <xf numFmtId="37" fontId="12" fillId="2" borderId="14" xfId="4" applyNumberFormat="1" applyFont="1" applyFill="1" applyBorder="1"/>
    <xf numFmtId="0" fontId="12" fillId="2" borderId="0" xfId="0" applyFont="1" applyFill="1" applyAlignment="1"/>
    <xf numFmtId="0" fontId="11" fillId="2" borderId="0" xfId="0" applyFont="1" applyFill="1" applyAlignment="1"/>
    <xf numFmtId="37" fontId="11" fillId="2" borderId="0" xfId="4" applyNumberFormat="1" applyFont="1" applyFill="1" applyBorder="1"/>
    <xf numFmtId="0" fontId="0" fillId="6" borderId="0" xfId="0" applyFill="1"/>
    <xf numFmtId="166" fontId="0" fillId="6" borderId="0" xfId="0" applyNumberFormat="1" applyFill="1"/>
    <xf numFmtId="166" fontId="0" fillId="2" borderId="0" xfId="0" applyNumberFormat="1" applyFill="1"/>
    <xf numFmtId="0" fontId="12" fillId="2" borderId="0" xfId="0" applyFont="1" applyFill="1" applyAlignment="1">
      <alignment horizontal="left"/>
    </xf>
    <xf numFmtId="0" fontId="12" fillId="3" borderId="0" xfId="0" applyFont="1" applyFill="1" applyAlignment="1">
      <alignment horizontal="left"/>
    </xf>
    <xf numFmtId="166" fontId="11" fillId="2" borderId="0" xfId="2" applyNumberFormat="1" applyFont="1" applyFill="1"/>
    <xf numFmtId="0" fontId="12" fillId="3" borderId="0" xfId="0" applyFont="1" applyFill="1"/>
    <xf numFmtId="0" fontId="11" fillId="3" borderId="0" xfId="0" applyFont="1" applyFill="1" applyBorder="1" applyAlignment="1">
      <alignment horizontal="left"/>
    </xf>
    <xf numFmtId="0" fontId="12" fillId="3" borderId="0" xfId="0" applyFont="1" applyFill="1" applyBorder="1" applyAlignment="1">
      <alignment horizontal="left"/>
    </xf>
    <xf numFmtId="0" fontId="11" fillId="2" borderId="0" xfId="0" applyFont="1" applyFill="1" applyAlignment="1">
      <alignment horizontal="right"/>
    </xf>
    <xf numFmtId="169" fontId="12" fillId="2" borderId="0" xfId="1" applyNumberFormat="1" applyFont="1" applyFill="1" applyBorder="1" applyAlignment="1">
      <alignment horizontal="left"/>
    </xf>
    <xf numFmtId="0" fontId="12" fillId="2" borderId="0" xfId="1" applyNumberFormat="1" applyFont="1" applyFill="1" applyBorder="1" applyAlignment="1">
      <alignment horizontal="right"/>
    </xf>
    <xf numFmtId="3" fontId="11" fillId="2" borderId="0" xfId="1" applyNumberFormat="1" applyFont="1" applyFill="1" applyBorder="1"/>
    <xf numFmtId="3" fontId="11" fillId="2" borderId="6" xfId="1" applyNumberFormat="1" applyFont="1" applyFill="1" applyBorder="1"/>
    <xf numFmtId="3" fontId="12" fillId="2" borderId="0" xfId="0" applyNumberFormat="1" applyFont="1" applyFill="1" applyBorder="1"/>
    <xf numFmtId="3" fontId="11" fillId="2" borderId="0" xfId="0" applyNumberFormat="1" applyFont="1" applyFill="1" applyBorder="1"/>
    <xf numFmtId="169" fontId="11" fillId="2" borderId="0" xfId="0" applyNumberFormat="1" applyFont="1" applyFill="1"/>
    <xf numFmtId="3" fontId="12" fillId="2" borderId="45" xfId="1" applyNumberFormat="1" applyFont="1" applyFill="1" applyBorder="1"/>
    <xf numFmtId="3" fontId="11" fillId="2" borderId="0" xfId="2" applyNumberFormat="1" applyFont="1" applyFill="1" applyBorder="1"/>
    <xf numFmtId="3" fontId="11" fillId="2" borderId="1" xfId="1" applyNumberFormat="1" applyFont="1" applyFill="1" applyBorder="1"/>
    <xf numFmtId="3" fontId="11" fillId="2" borderId="0" xfId="0" applyNumberFormat="1" applyFont="1" applyFill="1"/>
    <xf numFmtId="3" fontId="11" fillId="2" borderId="0" xfId="1" applyNumberFormat="1" applyFont="1" applyFill="1"/>
    <xf numFmtId="0" fontId="66" fillId="3" borderId="0" xfId="0" applyFont="1" applyFill="1" applyAlignment="1">
      <alignment horizontal="left"/>
    </xf>
    <xf numFmtId="0" fontId="60" fillId="10" borderId="6" xfId="0" applyFont="1" applyFill="1" applyBorder="1"/>
    <xf numFmtId="170" fontId="58" fillId="10" borderId="6" xfId="1" applyNumberFormat="1" applyFont="1" applyFill="1" applyBorder="1" applyAlignment="1">
      <alignment horizontal="right"/>
    </xf>
    <xf numFmtId="0" fontId="68" fillId="10" borderId="6" xfId="0" applyFont="1" applyFill="1" applyBorder="1" applyAlignment="1">
      <alignment horizontal="right"/>
    </xf>
    <xf numFmtId="0" fontId="68" fillId="10" borderId="6" xfId="0" applyFont="1" applyFill="1" applyBorder="1"/>
    <xf numFmtId="0" fontId="6" fillId="4" borderId="3" xfId="0" applyFont="1" applyFill="1" applyBorder="1" applyAlignment="1">
      <alignment wrapText="1"/>
    </xf>
    <xf numFmtId="0" fontId="0" fillId="4" borderId="4" xfId="0" applyFont="1" applyFill="1" applyBorder="1" applyAlignment="1"/>
    <xf numFmtId="0" fontId="0" fillId="4" borderId="5" xfId="0" applyFont="1" applyFill="1" applyBorder="1" applyAlignment="1"/>
    <xf numFmtId="0" fontId="66" fillId="2" borderId="0" xfId="0" applyFont="1" applyFill="1" applyBorder="1" applyAlignment="1">
      <alignment horizontal="center"/>
    </xf>
    <xf numFmtId="0" fontId="86" fillId="13" borderId="8" xfId="0" applyFont="1" applyFill="1" applyBorder="1" applyAlignment="1">
      <alignment horizontal="center"/>
    </xf>
    <xf numFmtId="0" fontId="86" fillId="13" borderId="9" xfId="0" applyFont="1" applyFill="1" applyBorder="1" applyAlignment="1">
      <alignment horizontal="center"/>
    </xf>
    <xf numFmtId="0" fontId="86" fillId="3" borderId="7" xfId="0" applyFont="1" applyFill="1" applyBorder="1" applyAlignment="1">
      <alignment horizontal="center"/>
    </xf>
    <xf numFmtId="0" fontId="86" fillId="3" borderId="8" xfId="0" applyFont="1" applyFill="1" applyBorder="1" applyAlignment="1">
      <alignment horizontal="center"/>
    </xf>
    <xf numFmtId="0" fontId="86" fillId="3" borderId="9" xfId="0" applyFont="1" applyFill="1" applyBorder="1" applyAlignment="1">
      <alignment horizontal="center"/>
    </xf>
    <xf numFmtId="0" fontId="17" fillId="2" borderId="0" xfId="0" applyFont="1" applyFill="1" applyBorder="1" applyAlignment="1">
      <alignment horizontal="center" vertical="top" wrapText="1"/>
    </xf>
    <xf numFmtId="0" fontId="47" fillId="2" borderId="0" xfId="0" applyFont="1" applyFill="1" applyBorder="1" applyAlignment="1">
      <alignment horizontal="center" vertical="center" wrapText="1" readingOrder="1"/>
    </xf>
    <xf numFmtId="0" fontId="54" fillId="2" borderId="0" xfId="0" applyFont="1" applyFill="1" applyBorder="1" applyAlignment="1">
      <alignment horizontal="right" vertical="center" wrapText="1" readingOrder="1"/>
    </xf>
    <xf numFmtId="0" fontId="54" fillId="2" borderId="0" xfId="0" applyFont="1" applyFill="1" applyBorder="1" applyAlignment="1">
      <alignment horizontal="left" vertical="center" wrapText="1" readingOrder="1"/>
    </xf>
    <xf numFmtId="0" fontId="16" fillId="2" borderId="0" xfId="0" applyFont="1" applyFill="1" applyBorder="1" applyAlignment="1">
      <alignment vertical="top" wrapText="1"/>
    </xf>
    <xf numFmtId="0" fontId="75" fillId="0" borderId="52" xfId="0" applyFont="1" applyBorder="1" applyAlignment="1">
      <alignment vertical="top" wrapText="1"/>
    </xf>
    <xf numFmtId="0" fontId="75" fillId="0" borderId="53" xfId="0" applyFont="1" applyBorder="1" applyAlignment="1">
      <alignment vertical="top" wrapText="1"/>
    </xf>
    <xf numFmtId="0" fontId="75" fillId="0" borderId="48" xfId="0" applyFont="1" applyBorder="1" applyAlignment="1">
      <alignment vertical="top" wrapText="1"/>
    </xf>
    <xf numFmtId="0" fontId="75" fillId="0" borderId="52" xfId="0" applyFont="1" applyBorder="1" applyAlignment="1">
      <alignment horizontal="left" vertical="top" wrapText="1"/>
    </xf>
    <xf numFmtId="0" fontId="75" fillId="0" borderId="53" xfId="0" applyFont="1" applyBorder="1" applyAlignment="1">
      <alignment horizontal="left" vertical="top" wrapText="1"/>
    </xf>
    <xf numFmtId="0" fontId="75" fillId="0" borderId="48" xfId="0" applyFont="1" applyBorder="1" applyAlignment="1">
      <alignment horizontal="left" vertical="top" wrapText="1"/>
    </xf>
    <xf numFmtId="0" fontId="66" fillId="3" borderId="8" xfId="0" applyFont="1" applyFill="1" applyBorder="1" applyAlignment="1">
      <alignment horizontal="center"/>
    </xf>
    <xf numFmtId="0" fontId="66" fillId="3" borderId="9" xfId="0" applyFont="1" applyFill="1" applyBorder="1" applyAlignment="1">
      <alignment horizontal="center"/>
    </xf>
    <xf numFmtId="0" fontId="13" fillId="3" borderId="8" xfId="0" applyFont="1" applyFill="1" applyBorder="1" applyAlignment="1">
      <alignment horizontal="center"/>
    </xf>
    <xf numFmtId="0" fontId="13" fillId="3" borderId="9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right"/>
    </xf>
    <xf numFmtId="0" fontId="5" fillId="3" borderId="9" xfId="0" applyFont="1" applyFill="1" applyBorder="1" applyAlignment="1">
      <alignment horizontal="right"/>
    </xf>
  </cellXfs>
  <cellStyles count="8">
    <cellStyle name="Comma" xfId="1" builtinId="3"/>
    <cellStyle name="Currency" xfId="4" builtinId="4"/>
    <cellStyle name="Hyperlink" xfId="5" builtinId="8"/>
    <cellStyle name="Normal" xfId="0" builtinId="0"/>
    <cellStyle name="Normal 2" xfId="7"/>
    <cellStyle name="Normal 3" xfId="6"/>
    <cellStyle name="Percent" xfId="2" builtinId="5"/>
    <cellStyle name="Percent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Year 1 Monthly Cash Flows</a:t>
            </a:r>
          </a:p>
        </c:rich>
      </c:tx>
    </c:title>
    <c:plotArea>
      <c:layout/>
      <c:lineChart>
        <c:grouping val="standard"/>
        <c:ser>
          <c:idx val="0"/>
          <c:order val="0"/>
          <c:cat>
            <c:numRef>
              <c:f>'App 4_Yr1 Cashflow'!$D$6:$X$6</c:f>
              <c:numCache>
                <c:formatCode>mmm\-yy</c:formatCode>
                <c:ptCount val="18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  <c:pt idx="13">
                  <c:v>41671</c:v>
                </c:pt>
                <c:pt idx="14">
                  <c:v>41699</c:v>
                </c:pt>
                <c:pt idx="15">
                  <c:v>41730</c:v>
                </c:pt>
                <c:pt idx="16">
                  <c:v>41760</c:v>
                </c:pt>
                <c:pt idx="17">
                  <c:v>41791</c:v>
                </c:pt>
              </c:numCache>
            </c:numRef>
          </c:cat>
          <c:val>
            <c:numRef>
              <c:f>'App 4_Yr1 Cashflow'!$D$35:$X$35</c:f>
              <c:numCache>
                <c:formatCode>_(* #,##0_);_(* \(#,##0\);_(* "-"??_);_(@_)</c:formatCode>
                <c:ptCount val="18"/>
                <c:pt idx="0">
                  <c:v>-4000</c:v>
                </c:pt>
                <c:pt idx="1">
                  <c:v>-4000</c:v>
                </c:pt>
                <c:pt idx="2">
                  <c:v>-3960255</c:v>
                </c:pt>
                <c:pt idx="3">
                  <c:v>-17500</c:v>
                </c:pt>
                <c:pt idx="4">
                  <c:v>-28500</c:v>
                </c:pt>
                <c:pt idx="5">
                  <c:v>-22601</c:v>
                </c:pt>
                <c:pt idx="6">
                  <c:v>-472642.42852411349</c:v>
                </c:pt>
                <c:pt idx="7">
                  <c:v>-184206.4493973288</c:v>
                </c:pt>
                <c:pt idx="8">
                  <c:v>-1389557.6244132817</c:v>
                </c:pt>
                <c:pt idx="9">
                  <c:v>-79040.736102282215</c:v>
                </c:pt>
                <c:pt idx="10">
                  <c:v>-55184.89246688303</c:v>
                </c:pt>
                <c:pt idx="11">
                  <c:v>-787931.21137732419</c:v>
                </c:pt>
                <c:pt idx="12">
                  <c:v>37980.108814724837</c:v>
                </c:pt>
                <c:pt idx="13">
                  <c:v>114972.12375026022</c:v>
                </c:pt>
                <c:pt idx="14">
                  <c:v>220004.44466000964</c:v>
                </c:pt>
                <c:pt idx="15">
                  <c:v>371860.193933659</c:v>
                </c:pt>
                <c:pt idx="16">
                  <c:v>581658.24291676783</c:v>
                </c:pt>
                <c:pt idx="17">
                  <c:v>100005.51149312011</c:v>
                </c:pt>
              </c:numCache>
            </c:numRef>
          </c:val>
        </c:ser>
        <c:marker val="1"/>
        <c:axId val="82135296"/>
        <c:axId val="115401088"/>
      </c:lineChart>
      <c:dateAx>
        <c:axId val="82135296"/>
        <c:scaling>
          <c:orientation val="minMax"/>
        </c:scaling>
        <c:axPos val="b"/>
        <c:numFmt formatCode="mmm\-yy" sourceLinked="1"/>
        <c:tickLblPos val="nextTo"/>
        <c:crossAx val="115401088"/>
        <c:crosses val="autoZero"/>
        <c:auto val="1"/>
        <c:lblOffset val="100"/>
        <c:baseTimeUnit val="months"/>
      </c:dateAx>
      <c:valAx>
        <c:axId val="115401088"/>
        <c:scaling>
          <c:orientation val="minMax"/>
        </c:scaling>
        <c:axPos val="l"/>
        <c:majorGridlines/>
        <c:numFmt formatCode="_(* #,##0_);_(* \(#,##0\);_(* &quot;-&quot;??_);_(@_)" sourceLinked="1"/>
        <c:tickLblPos val="nextTo"/>
        <c:crossAx val="82135296"/>
        <c:crosses val="autoZero"/>
        <c:crossBetween val="between"/>
      </c:valAx>
    </c:plotArea>
    <c:plotVisOnly val="1"/>
    <c:dispBlanksAs val="gap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997325</xdr:colOff>
      <xdr:row>38</xdr:row>
      <xdr:rowOff>78440</xdr:rowOff>
    </xdr:from>
    <xdr:to>
      <xdr:col>19</xdr:col>
      <xdr:colOff>78442</xdr:colOff>
      <xdr:row>55</xdr:row>
      <xdr:rowOff>156881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400050</xdr:colOff>
      <xdr:row>1</xdr:row>
      <xdr:rowOff>63500</xdr:rowOff>
    </xdr:from>
    <xdr:to>
      <xdr:col>24</xdr:col>
      <xdr:colOff>321796</xdr:colOff>
      <xdr:row>2</xdr:row>
      <xdr:rowOff>65202</xdr:rowOff>
    </xdr:to>
    <xdr:pic>
      <xdr:nvPicPr>
        <xdr:cNvPr id="2" name="Picture 1" descr="https://encrypted-tbn0.google.com/images?q=tbn:ANd9GcQU6AvJ6cKttAZFpgSelHBu0r_ZbM_UFOgHCDh64_wlJUgvmfu-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525625" y="225425"/>
          <a:ext cx="626596" cy="306502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19050</xdr:colOff>
      <xdr:row>1</xdr:row>
      <xdr:rowOff>0</xdr:rowOff>
    </xdr:from>
    <xdr:to>
      <xdr:col>22</xdr:col>
      <xdr:colOff>119923</xdr:colOff>
      <xdr:row>2</xdr:row>
      <xdr:rowOff>122353</xdr:rowOff>
    </xdr:to>
    <xdr:pic>
      <xdr:nvPicPr>
        <xdr:cNvPr id="2" name="Picture 1" descr="https://encrypted-tbn0.google.com/images?q=tbn:ANd9GcQU6AvJ6cKttAZFpgSelHBu0r_ZbM_UFOgHCDh64_wlJUgvmfu-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335250" y="190500"/>
          <a:ext cx="1143000" cy="370003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400050</xdr:colOff>
      <xdr:row>1</xdr:row>
      <xdr:rowOff>63500</xdr:rowOff>
    </xdr:from>
    <xdr:to>
      <xdr:col>18</xdr:col>
      <xdr:colOff>425450</xdr:colOff>
      <xdr:row>2</xdr:row>
      <xdr:rowOff>122353</xdr:rowOff>
    </xdr:to>
    <xdr:pic>
      <xdr:nvPicPr>
        <xdr:cNvPr id="2" name="Picture 1" descr="https://encrypted-tbn0.google.com/images?q=tbn:ANd9GcQU6AvJ6cKttAZFpgSelHBu0r_ZbM_UFOgHCDh64_wlJUgvmfu-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92375" y="254000"/>
          <a:ext cx="758825" cy="306503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571499</xdr:colOff>
      <xdr:row>10</xdr:row>
      <xdr:rowOff>149262</xdr:rowOff>
    </xdr:from>
    <xdr:to>
      <xdr:col>5</xdr:col>
      <xdr:colOff>742950</xdr:colOff>
      <xdr:row>26</xdr:row>
      <xdr:rowOff>167640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71499" y="2406687"/>
          <a:ext cx="5476876" cy="306637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19050</xdr:colOff>
      <xdr:row>1</xdr:row>
      <xdr:rowOff>0</xdr:rowOff>
    </xdr:from>
    <xdr:to>
      <xdr:col>19</xdr:col>
      <xdr:colOff>552450</xdr:colOff>
      <xdr:row>2</xdr:row>
      <xdr:rowOff>122353</xdr:rowOff>
    </xdr:to>
    <xdr:pic>
      <xdr:nvPicPr>
        <xdr:cNvPr id="2" name="Picture 1" descr="https://encrypted-tbn0.google.com/images?q=tbn:ANd9GcQU6AvJ6cKttAZFpgSelHBu0r_ZbM_UFOgHCDh64_wlJUgvmfu-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954000" y="190500"/>
          <a:ext cx="1143000" cy="370003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gan%20Pham/Desktop/viet%20cap/Financial%20models/Complete%20models/HRC/VCSC%20HRC%20Valuation%20v.6.5%20June%2023.2011%20rev.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.Setup"/>
      <sheetName val="2.Bloomberg"/>
      <sheetName val="3.FS"/>
      <sheetName val="4.QoQ"/>
      <sheetName val="5.Price"/>
      <sheetName val="6.Debt"/>
      <sheetName val="7.Sales"/>
      <sheetName val="8.Assumption"/>
      <sheetName val="9. Comps"/>
      <sheetName val="Valuation"/>
      <sheetName val="P&amp;L"/>
      <sheetName val="BS"/>
      <sheetName val="CF"/>
      <sheetName val="DCF"/>
      <sheetName val="VCSC"/>
      <sheetName val="Plantation"/>
      <sheetName val="D&amp;A"/>
      <sheetName val="Investment"/>
    </sheetNames>
    <sheetDataSet>
      <sheetData sheetId="0">
        <row r="12">
          <cell r="D12">
            <v>2020</v>
          </cell>
        </row>
        <row r="16">
          <cell r="C16">
            <v>0.14000000000000001</v>
          </cell>
        </row>
        <row r="17">
          <cell r="C17">
            <v>0.19575000000000001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thuvienphapluat.vn/archive/Thong-tu/Thong-tu-15-BYT-TT-huong-dan-phong-kham-benh-da-khoa-khu-vuc-theo-nghi-quyet-15-CP-vb17078t23.aspx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hyperlink" Target="file://D:\StoxPlus\Clients\Research\Sector%20Research\Healthcare\AppData\Local\Microsoft\Windows\Temporary%20Internet%20Files\Content.Outlook\Microsoft\Windows\Temporary%20Internet%20Files\Content.Outlook\AppData\Local\Microsoft\Windows\AppData\Local\Microsoft\Windows\Temporary%20Internet%20Files\Content.Outlook\Dropbox\StoxPlus_TKS\Regulation\Du%20thao%20danh%20muc%20TTB.doc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3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E26"/>
  <sheetViews>
    <sheetView tabSelected="1" topLeftCell="A17" workbookViewId="0">
      <selection activeCell="C30" sqref="C30"/>
    </sheetView>
  </sheetViews>
  <sheetFormatPr defaultRowHeight="12.75"/>
  <cols>
    <col min="1" max="1" width="9.140625" style="2"/>
    <col min="2" max="2" width="7.28515625" style="9" customWidth="1"/>
    <col min="3" max="3" width="62.7109375" style="2" customWidth="1"/>
    <col min="4" max="4" width="9.140625" style="2"/>
    <col min="5" max="5" width="10.85546875" style="2" customWidth="1"/>
    <col min="6" max="16384" width="9.140625" style="2"/>
  </cols>
  <sheetData>
    <row r="2" spans="2:5" ht="19.5">
      <c r="B2" s="1" t="s">
        <v>0</v>
      </c>
    </row>
    <row r="3" spans="2:5">
      <c r="B3" s="3" t="s">
        <v>103</v>
      </c>
    </row>
    <row r="5" spans="2:5" ht="15.75">
      <c r="B5" s="17" t="s">
        <v>1</v>
      </c>
      <c r="C5" s="18"/>
      <c r="D5" s="18"/>
      <c r="E5" s="19" t="s">
        <v>1677</v>
      </c>
    </row>
    <row r="7" spans="2:5" ht="15">
      <c r="B7" s="5">
        <v>1</v>
      </c>
      <c r="C7" s="856" t="s">
        <v>2</v>
      </c>
      <c r="D7" s="6"/>
      <c r="E7" s="850" t="s">
        <v>1644</v>
      </c>
    </row>
    <row r="8" spans="2:5" ht="15">
      <c r="B8" s="7">
        <v>2</v>
      </c>
      <c r="C8" s="857" t="s">
        <v>1672</v>
      </c>
      <c r="D8" s="8"/>
      <c r="E8" s="850" t="s">
        <v>1644</v>
      </c>
    </row>
    <row r="9" spans="2:5" ht="15">
      <c r="B9" s="7">
        <v>3</v>
      </c>
      <c r="C9" s="857" t="s">
        <v>3</v>
      </c>
      <c r="D9" s="8"/>
      <c r="E9" s="850" t="s">
        <v>1644</v>
      </c>
    </row>
    <row r="10" spans="2:5" ht="15">
      <c r="B10" s="7">
        <v>4</v>
      </c>
      <c r="C10" s="857" t="s">
        <v>1764</v>
      </c>
      <c r="D10" s="8"/>
      <c r="E10" s="850" t="s">
        <v>1644</v>
      </c>
    </row>
    <row r="11" spans="2:5" ht="15">
      <c r="B11" s="7">
        <v>5</v>
      </c>
      <c r="C11" s="857" t="s">
        <v>1763</v>
      </c>
      <c r="D11" s="8"/>
      <c r="E11" s="850" t="s">
        <v>1644</v>
      </c>
    </row>
    <row r="12" spans="2:5" ht="15">
      <c r="C12" s="10"/>
      <c r="D12" s="10"/>
      <c r="E12" s="10"/>
    </row>
    <row r="13" spans="2:5" s="12" customFormat="1" ht="15">
      <c r="B13" s="11" t="s">
        <v>4</v>
      </c>
      <c r="D13" s="10"/>
      <c r="E13" s="10"/>
    </row>
    <row r="14" spans="2:5">
      <c r="B14" s="13">
        <v>1</v>
      </c>
      <c r="C14" s="858" t="s">
        <v>1673</v>
      </c>
      <c r="D14" s="14"/>
      <c r="E14" s="865" t="s">
        <v>1644</v>
      </c>
    </row>
    <row r="15" spans="2:5">
      <c r="B15" s="15">
        <f>B14+1</f>
        <v>2</v>
      </c>
      <c r="C15" s="859" t="s">
        <v>5</v>
      </c>
      <c r="D15" s="16"/>
      <c r="E15" s="125" t="s">
        <v>1644</v>
      </c>
    </row>
    <row r="16" spans="2:5">
      <c r="B16" s="15">
        <f t="shared" ref="B16:B24" si="0">B15+1</f>
        <v>3</v>
      </c>
      <c r="C16" s="859" t="s">
        <v>10</v>
      </c>
      <c r="D16" s="16"/>
      <c r="E16" s="125" t="s">
        <v>1644</v>
      </c>
    </row>
    <row r="17" spans="2:5">
      <c r="B17" s="15">
        <f t="shared" si="0"/>
        <v>4</v>
      </c>
      <c r="C17" s="859" t="s">
        <v>6</v>
      </c>
      <c r="D17" s="16"/>
      <c r="E17" s="125" t="s">
        <v>1644</v>
      </c>
    </row>
    <row r="18" spans="2:5">
      <c r="B18" s="15">
        <f t="shared" si="0"/>
        <v>5</v>
      </c>
      <c r="C18" s="859" t="s">
        <v>1674</v>
      </c>
      <c r="D18" s="16"/>
      <c r="E18" s="125" t="s">
        <v>1644</v>
      </c>
    </row>
    <row r="19" spans="2:5">
      <c r="B19" s="15">
        <f t="shared" si="0"/>
        <v>6</v>
      </c>
      <c r="C19" s="859" t="s">
        <v>7</v>
      </c>
      <c r="D19" s="16"/>
      <c r="E19" s="125" t="s">
        <v>1644</v>
      </c>
    </row>
    <row r="20" spans="2:5">
      <c r="B20" s="15">
        <f t="shared" si="0"/>
        <v>7</v>
      </c>
      <c r="C20" s="859" t="s">
        <v>155</v>
      </c>
      <c r="D20" s="16"/>
      <c r="E20" s="125" t="s">
        <v>1644</v>
      </c>
    </row>
    <row r="21" spans="2:5">
      <c r="B21" s="15">
        <f t="shared" si="0"/>
        <v>8</v>
      </c>
      <c r="C21" s="859" t="s">
        <v>1675</v>
      </c>
      <c r="D21" s="16"/>
      <c r="E21" s="125" t="s">
        <v>1644</v>
      </c>
    </row>
    <row r="22" spans="2:5">
      <c r="B22" s="15">
        <f t="shared" si="0"/>
        <v>9</v>
      </c>
      <c r="C22" s="859" t="s">
        <v>8</v>
      </c>
      <c r="D22" s="16"/>
      <c r="E22" s="125" t="s">
        <v>1644</v>
      </c>
    </row>
    <row r="23" spans="2:5">
      <c r="B23" s="15">
        <f t="shared" si="0"/>
        <v>10</v>
      </c>
      <c r="C23" s="859" t="s">
        <v>1676</v>
      </c>
      <c r="D23" s="16"/>
      <c r="E23" s="125" t="s">
        <v>1644</v>
      </c>
    </row>
    <row r="24" spans="2:5">
      <c r="B24" s="15">
        <f t="shared" si="0"/>
        <v>11</v>
      </c>
      <c r="C24" s="859" t="s">
        <v>9</v>
      </c>
      <c r="D24" s="16"/>
      <c r="E24" s="434" t="s">
        <v>1644</v>
      </c>
    </row>
    <row r="25" spans="2:5">
      <c r="C25" s="4"/>
      <c r="D25" s="4"/>
      <c r="E25" s="4"/>
    </row>
    <row r="26" spans="2:5" ht="28.5" customHeight="1">
      <c r="B26" s="901" t="s">
        <v>1786</v>
      </c>
      <c r="C26" s="902"/>
      <c r="D26" s="902"/>
      <c r="E26" s="903"/>
    </row>
  </sheetData>
  <mergeCells count="1">
    <mergeCell ref="B26:E26"/>
  </mergeCells>
  <hyperlinks>
    <hyperlink ref="C7" location="'1.Key Assumptions'!A1" display="Key Assumptions"/>
    <hyperlink ref="C8" location="'2. 5-Yr Profit &amp; Loss'!A1" display="5-Year Projected Financial Performance"/>
    <hyperlink ref="C9" location="'3. Balance sheets'!A1" display="Balance Sheets"/>
    <hyperlink ref="C11" location="'5. 5-Yr Cashflow'!A1" display="5-Year Cashflow Forecast"/>
    <hyperlink ref="C14" location="'App 1_5Yr Revenue'!A1" display="5-Year Revenue Analysis"/>
    <hyperlink ref="C15" location="'App 2_12M Revenue'!A1" display="12 Month Revenue Analysis"/>
    <hyperlink ref="C16" location="'App 3_Service Fee Ref.'!A1" display="Market Service Fee Reference"/>
    <hyperlink ref="C17" location="'App 4_Yr1 Cashflow'!A1" display="12 Month Cash Flow Forecast"/>
    <hyperlink ref="C18" location="'App 5_5-Yr Capex'!A1" display="5-Year Capital Expenditure Forecast"/>
    <hyperlink ref="C19" location="'App 6_Yr 1 Capex'!A1" display="12 Month Capital Expenditure Forecast"/>
    <hyperlink ref="C20" location="'App 7_Pre-operational Costs'!A1" display="Analysis of Pre-Operational Costs"/>
    <hyperlink ref="C21" location="'App 8_5Yr Headcount'!A1" display="5-Year Headcout Forecast"/>
    <hyperlink ref="C22" location="'App 9_Yr1 Headcount'!A1" display="12 Month Headcount Forecast"/>
    <hyperlink ref="C23" location="'App 10_5Yr Op Exp'!A1" display="5-Year Operating Expenses"/>
    <hyperlink ref="C24" location="'App 11_Yr1 Op Exp'!A1" display="12 Month Operating Expenses"/>
    <hyperlink ref="C10" location="'4. Initial Inv''t Size'!A1" display="Investment Size and Capital Structure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3:F28"/>
  <sheetViews>
    <sheetView workbookViewId="0">
      <selection activeCell="H25" sqref="H25"/>
    </sheetView>
  </sheetViews>
  <sheetFormatPr defaultRowHeight="15"/>
  <cols>
    <col min="1" max="1" width="9.140625" style="20" customWidth="1"/>
    <col min="2" max="2" width="10.28515625" style="20" customWidth="1"/>
    <col min="3" max="3" width="19.42578125" style="20" customWidth="1"/>
    <col min="4" max="4" width="16" style="20" customWidth="1"/>
    <col min="5" max="5" width="9.140625" style="20"/>
    <col min="6" max="6" width="39.140625" style="20" customWidth="1"/>
    <col min="7" max="7" width="9.140625" style="20"/>
    <col min="8" max="8" width="52.140625" style="20" customWidth="1"/>
    <col min="9" max="16384" width="9.140625" style="20"/>
  </cols>
  <sheetData>
    <row r="3" spans="2:6" ht="19.5">
      <c r="B3" s="1" t="s">
        <v>11</v>
      </c>
      <c r="C3" s="2"/>
      <c r="D3" s="2"/>
      <c r="E3" s="2"/>
    </row>
    <row r="4" spans="2:6">
      <c r="B4" s="3" t="s">
        <v>103</v>
      </c>
      <c r="C4" s="2"/>
      <c r="D4" s="2"/>
      <c r="E4" s="2"/>
    </row>
    <row r="5" spans="2:6">
      <c r="B5" s="9"/>
      <c r="C5" s="2"/>
      <c r="D5" s="2"/>
      <c r="E5" s="2"/>
    </row>
    <row r="6" spans="2:6" ht="15.75">
      <c r="B6" s="17" t="s">
        <v>12</v>
      </c>
      <c r="C6" s="18"/>
      <c r="D6" s="18"/>
      <c r="E6" s="19"/>
    </row>
    <row r="8" spans="2:6">
      <c r="B8" s="20" t="s">
        <v>993</v>
      </c>
      <c r="E8" s="21" t="s">
        <v>13</v>
      </c>
    </row>
    <row r="9" spans="2:6">
      <c r="B9" s="20" t="s">
        <v>994</v>
      </c>
      <c r="E9" s="22">
        <v>41456</v>
      </c>
    </row>
    <row r="11" spans="2:6" ht="15.75">
      <c r="B11" s="17" t="s">
        <v>14</v>
      </c>
      <c r="C11" s="17"/>
      <c r="D11" s="17"/>
      <c r="E11" s="17"/>
      <c r="F11" s="488"/>
    </row>
    <row r="12" spans="2:6">
      <c r="B12" s="20" t="s">
        <v>1749</v>
      </c>
      <c r="F12" s="20" t="s">
        <v>1750</v>
      </c>
    </row>
    <row r="13" spans="2:6" ht="31.5" customHeight="1">
      <c r="B13" s="20" t="s">
        <v>1751</v>
      </c>
      <c r="F13" s="861" t="s">
        <v>1752</v>
      </c>
    </row>
    <row r="14" spans="2:6">
      <c r="B14" s="20" t="s">
        <v>1753</v>
      </c>
      <c r="F14" s="20" t="s">
        <v>1754</v>
      </c>
    </row>
    <row r="15" spans="2:6">
      <c r="F15" s="20" t="s">
        <v>1755</v>
      </c>
    </row>
    <row r="16" spans="2:6">
      <c r="B16" s="20" t="s">
        <v>1756</v>
      </c>
      <c r="F16" s="20" t="s">
        <v>285</v>
      </c>
    </row>
    <row r="18" spans="2:6" ht="20.25">
      <c r="B18" s="897" t="s">
        <v>952</v>
      </c>
      <c r="C18" s="898"/>
      <c r="D18" s="899"/>
      <c r="E18" s="899"/>
      <c r="F18" s="900"/>
    </row>
    <row r="19" spans="2:6">
      <c r="B19" s="874" t="s">
        <v>1780</v>
      </c>
      <c r="C19" s="874"/>
      <c r="D19" s="875">
        <v>2.5000000000000001E-2</v>
      </c>
      <c r="E19" s="874"/>
      <c r="F19" s="874" t="s">
        <v>1781</v>
      </c>
    </row>
    <row r="20" spans="2:6">
      <c r="B20" s="20" t="s">
        <v>953</v>
      </c>
      <c r="D20" s="439">
        <v>15</v>
      </c>
      <c r="F20" s="20" t="s">
        <v>954</v>
      </c>
    </row>
    <row r="21" spans="2:6">
      <c r="B21" s="20" t="s">
        <v>955</v>
      </c>
      <c r="D21" s="439">
        <v>15</v>
      </c>
      <c r="F21" s="20" t="s">
        <v>954</v>
      </c>
    </row>
    <row r="22" spans="2:6">
      <c r="B22" s="20" t="s">
        <v>956</v>
      </c>
      <c r="D22" s="876">
        <v>0.1</v>
      </c>
      <c r="F22" s="20" t="s">
        <v>957</v>
      </c>
    </row>
    <row r="23" spans="2:6">
      <c r="B23" s="20" t="s">
        <v>958</v>
      </c>
      <c r="D23" s="20">
        <v>1.5</v>
      </c>
      <c r="F23" s="20" t="s">
        <v>959</v>
      </c>
    </row>
    <row r="24" spans="2:6">
      <c r="B24" s="20" t="s">
        <v>960</v>
      </c>
      <c r="D24" s="20">
        <v>1.5</v>
      </c>
      <c r="F24" s="20" t="s">
        <v>961</v>
      </c>
    </row>
    <row r="25" spans="2:6">
      <c r="B25" s="20" t="s">
        <v>963</v>
      </c>
      <c r="D25" s="439">
        <v>1</v>
      </c>
      <c r="F25" s="20" t="s">
        <v>964</v>
      </c>
    </row>
    <row r="26" spans="2:6">
      <c r="B26" s="20" t="s">
        <v>965</v>
      </c>
      <c r="D26" s="876">
        <v>0.1</v>
      </c>
      <c r="F26" s="20" t="s">
        <v>962</v>
      </c>
    </row>
    <row r="28" spans="2:6">
      <c r="B28" s="20" t="s">
        <v>966</v>
      </c>
      <c r="D28" s="438">
        <v>41456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B2:P77"/>
  <sheetViews>
    <sheetView workbookViewId="0">
      <selection activeCell="J68" sqref="J68"/>
    </sheetView>
  </sheetViews>
  <sheetFormatPr defaultRowHeight="12.75" outlineLevelRow="2"/>
  <cols>
    <col min="1" max="2" width="6.7109375" style="25" customWidth="1"/>
    <col min="3" max="3" width="33.42578125" style="25" customWidth="1"/>
    <col min="4" max="4" width="6.7109375" style="25" customWidth="1"/>
    <col min="5" max="9" width="14.28515625" style="25" customWidth="1"/>
    <col min="10" max="10" width="47.140625" style="25" customWidth="1"/>
    <col min="11" max="16384" width="9.140625" style="25"/>
  </cols>
  <sheetData>
    <row r="2" spans="2:9">
      <c r="B2" s="877" t="s">
        <v>124</v>
      </c>
    </row>
    <row r="3" spans="2:9">
      <c r="B3" s="877" t="s">
        <v>103</v>
      </c>
    </row>
    <row r="5" spans="2:9">
      <c r="B5" s="878"/>
      <c r="C5" s="878"/>
      <c r="D5" s="878"/>
      <c r="E5" s="878"/>
      <c r="F5" s="878"/>
      <c r="G5" s="878"/>
      <c r="H5" s="878"/>
      <c r="I5" s="896" t="s">
        <v>24</v>
      </c>
    </row>
    <row r="6" spans="2:9">
      <c r="B6" s="29"/>
      <c r="C6" s="29"/>
      <c r="D6" s="29"/>
      <c r="E6" s="106" t="s">
        <v>29</v>
      </c>
      <c r="F6" s="106" t="s">
        <v>30</v>
      </c>
      <c r="G6" s="106" t="s">
        <v>31</v>
      </c>
      <c r="H6" s="106" t="s">
        <v>32</v>
      </c>
      <c r="I6" s="106" t="s">
        <v>33</v>
      </c>
    </row>
    <row r="7" spans="2:9">
      <c r="B7" s="29"/>
      <c r="C7" s="29"/>
      <c r="D7" s="29"/>
      <c r="E7" s="106">
        <v>41791</v>
      </c>
      <c r="F7" s="106">
        <v>42156</v>
      </c>
      <c r="G7" s="106">
        <v>42522</v>
      </c>
      <c r="H7" s="106">
        <v>42887</v>
      </c>
      <c r="I7" s="106">
        <v>43252</v>
      </c>
    </row>
    <row r="8" spans="2:9" ht="8.25" customHeight="1"/>
    <row r="9" spans="2:9" ht="15.75" customHeight="1">
      <c r="B9" s="871" t="s">
        <v>125</v>
      </c>
      <c r="C9" s="26" t="s">
        <v>126</v>
      </c>
    </row>
    <row r="10" spans="2:9" outlineLevel="1">
      <c r="B10" s="872"/>
      <c r="C10" s="25" t="s">
        <v>19</v>
      </c>
      <c r="E10" s="32">
        <f>'App 1_5Yr Revenue'!E9</f>
        <v>554950.05545384227</v>
      </c>
      <c r="F10" s="32">
        <f>'App 1_5Yr Revenue'!F9</f>
        <v>840749.33401257102</v>
      </c>
      <c r="G10" s="32">
        <f>'App 1_5Yr Revenue'!G9</f>
        <v>1188819.5582937752</v>
      </c>
      <c r="H10" s="32">
        <f>'App 1_5Yr Revenue'!H9</f>
        <v>1560920.080039727</v>
      </c>
      <c r="I10" s="32">
        <f>'App 1_5Yr Revenue'!I9</f>
        <v>2049488.0650921618</v>
      </c>
    </row>
    <row r="11" spans="2:9" outlineLevel="1">
      <c r="B11" s="872"/>
      <c r="C11" s="25" t="s">
        <v>16</v>
      </c>
      <c r="E11" s="32">
        <f>'App 1_5Yr Revenue'!E10</f>
        <v>3213328.5598861417</v>
      </c>
      <c r="F11" s="32">
        <f>'App 1_5Yr Revenue'!F10</f>
        <v>6357868.5080612237</v>
      </c>
      <c r="G11" s="32">
        <f>'App 1_5Yr Revenue'!G10</f>
        <v>8990026.070398571</v>
      </c>
      <c r="H11" s="32">
        <f>'App 1_5Yr Revenue'!H10</f>
        <v>11803904.230433324</v>
      </c>
      <c r="I11" s="32">
        <f>'App 1_5Yr Revenue'!I10</f>
        <v>15498526.254558954</v>
      </c>
    </row>
    <row r="12" spans="2:9" outlineLevel="1">
      <c r="B12" s="872"/>
      <c r="C12" s="25" t="s">
        <v>17</v>
      </c>
      <c r="E12" s="51">
        <f>'App 1_5Yr Revenue'!E11</f>
        <v>1180122.5929275001</v>
      </c>
      <c r="F12" s="51">
        <f>'App 1_5Yr Revenue'!F11</f>
        <v>1787885.7282851627</v>
      </c>
      <c r="G12" s="51">
        <f>'App 1_5Yr Revenue'!G11</f>
        <v>2528070.4197952203</v>
      </c>
      <c r="H12" s="51">
        <f>'App 1_5Yr Revenue'!H11</f>
        <v>3319356.4611911238</v>
      </c>
      <c r="I12" s="51">
        <f>'App 1_5Yr Revenue'!I11</f>
        <v>4358315.0335439462</v>
      </c>
    </row>
    <row r="13" spans="2:9" ht="6" customHeight="1" outlineLevel="1">
      <c r="B13" s="872"/>
      <c r="E13" s="61"/>
      <c r="F13" s="61"/>
      <c r="G13" s="61"/>
      <c r="H13" s="61"/>
      <c r="I13" s="61"/>
    </row>
    <row r="14" spans="2:9">
      <c r="B14" s="872"/>
      <c r="E14" s="122">
        <f>SUM(E10:E13)</f>
        <v>4948401.2082674839</v>
      </c>
      <c r="F14" s="122">
        <f>SUM(F10:F13)</f>
        <v>8986503.5703589581</v>
      </c>
      <c r="G14" s="122">
        <f>SUM(G10:G13)</f>
        <v>12706916.048487566</v>
      </c>
      <c r="H14" s="122">
        <f>SUM(H10:H13)</f>
        <v>16684180.771664174</v>
      </c>
      <c r="I14" s="122">
        <f>SUM(I10:I13)</f>
        <v>21906329.353195064</v>
      </c>
    </row>
    <row r="15" spans="2:9" s="26" customFormat="1" outlineLevel="1">
      <c r="B15" s="871" t="s">
        <v>127</v>
      </c>
      <c r="C15" s="26" t="s">
        <v>128</v>
      </c>
    </row>
    <row r="16" spans="2:9" outlineLevel="1">
      <c r="B16" s="872"/>
      <c r="C16" s="25" t="s">
        <v>137</v>
      </c>
      <c r="E16" s="32">
        <f>'App 1_5Yr Revenue'!E37</f>
        <v>83540.868562944001</v>
      </c>
      <c r="F16" s="32">
        <f>'App 1_5Yr Revenue'!F37</f>
        <v>125311.302844416</v>
      </c>
      <c r="G16" s="32">
        <f>'App 1_5Yr Revenue'!G37</f>
        <v>175435.8239821824</v>
      </c>
      <c r="H16" s="32">
        <f>'App 1_5Yr Revenue'!H37</f>
        <v>228066.57117683711</v>
      </c>
      <c r="I16" s="32">
        <f>'App 1_5Yr Revenue'!I37</f>
        <v>296486.54252988828</v>
      </c>
    </row>
    <row r="17" spans="2:11" outlineLevel="1">
      <c r="B17" s="872"/>
      <c r="C17" s="25" t="s">
        <v>136</v>
      </c>
      <c r="E17" s="32">
        <f>E16/300</f>
        <v>278.46956187647999</v>
      </c>
      <c r="F17" s="32">
        <f>F16/300</f>
        <v>417.70434281472001</v>
      </c>
      <c r="G17" s="32">
        <f>G16/300</f>
        <v>584.78607994060803</v>
      </c>
      <c r="H17" s="32">
        <f>H16/300</f>
        <v>760.22190392279037</v>
      </c>
      <c r="I17" s="32">
        <f>I16/300</f>
        <v>988.28847509962759</v>
      </c>
    </row>
    <row r="18" spans="2:11" outlineLevel="1">
      <c r="B18" s="872"/>
      <c r="C18" s="25" t="s">
        <v>132</v>
      </c>
      <c r="E18" s="72">
        <f>'App 1_5Yr Revenue'!E41</f>
        <v>7.1134973133231219</v>
      </c>
      <c r="F18" s="72">
        <f>'App 1_5Yr Revenue'!F41</f>
        <v>9</v>
      </c>
      <c r="G18" s="72">
        <f>'App 1_5Yr Revenue'!G41</f>
        <v>9</v>
      </c>
      <c r="H18" s="72">
        <f>'App 1_5Yr Revenue'!H41</f>
        <v>9</v>
      </c>
      <c r="I18" s="72">
        <f>'App 1_5Yr Revenue'!I41</f>
        <v>9</v>
      </c>
    </row>
    <row r="19" spans="2:11" outlineLevel="1">
      <c r="B19" s="872"/>
      <c r="C19" s="25" t="s">
        <v>133</v>
      </c>
      <c r="E19" s="72">
        <f>'App 1_5Yr Revenue'!E42</f>
        <v>1.0390693104747908</v>
      </c>
      <c r="F19" s="72">
        <f>'App 1_5Yr Revenue'!F42</f>
        <v>1.5</v>
      </c>
      <c r="G19" s="72">
        <f>'App 1_5Yr Revenue'!G42</f>
        <v>1.5</v>
      </c>
      <c r="H19" s="72">
        <f>'App 1_5Yr Revenue'!H42</f>
        <v>1.5</v>
      </c>
      <c r="I19" s="72">
        <f>'App 1_5Yr Revenue'!I42</f>
        <v>1.5</v>
      </c>
    </row>
    <row r="20" spans="2:11" outlineLevel="1">
      <c r="B20" s="872"/>
      <c r="C20" s="25" t="s">
        <v>134</v>
      </c>
      <c r="E20" s="72">
        <f>'App 1_5Yr Revenue'!E43</f>
        <v>6.6428571428571423</v>
      </c>
      <c r="F20" s="72">
        <f>'App 1_5Yr Revenue'!F43</f>
        <v>6.7092857142857136</v>
      </c>
      <c r="G20" s="72">
        <f>'App 1_5Yr Revenue'!G43</f>
        <v>6.7763785714285705</v>
      </c>
      <c r="H20" s="72">
        <f>'App 1_5Yr Revenue'!H43</f>
        <v>6.8441423571428563</v>
      </c>
      <c r="I20" s="72">
        <f>'App 1_5Yr Revenue'!I43</f>
        <v>6.9125837807142849</v>
      </c>
    </row>
    <row r="21" spans="2:11" outlineLevel="1">
      <c r="B21" s="872"/>
      <c r="C21" s="25" t="s">
        <v>135</v>
      </c>
      <c r="E21" s="72">
        <f>'App 1_5Yr Revenue'!E44</f>
        <v>5.5815833333333327</v>
      </c>
      <c r="F21" s="72">
        <f>'App 1_5Yr Revenue'!F44</f>
        <v>5.6373991666666656</v>
      </c>
      <c r="G21" s="72">
        <f>'App 1_5Yr Revenue'!G44</f>
        <v>5.6937731583333324</v>
      </c>
      <c r="H21" s="72">
        <f>'App 1_5Yr Revenue'!H44</f>
        <v>5.7507108899166655</v>
      </c>
      <c r="I21" s="72">
        <f>'App 1_5Yr Revenue'!I44</f>
        <v>5.8082179988158318</v>
      </c>
    </row>
    <row r="22" spans="2:11" outlineLevel="1">
      <c r="B22" s="872"/>
      <c r="C22" s="25" t="s">
        <v>1680</v>
      </c>
      <c r="E22" s="72">
        <f>'App 1_5Yr Revenue'!E45</f>
        <v>13.595138011456489</v>
      </c>
      <c r="F22" s="72">
        <f>'App 1_5Yr Revenue'!F45</f>
        <v>13.731089391571054</v>
      </c>
      <c r="G22" s="72">
        <f>'App 1_5Yr Revenue'!G45</f>
        <v>13.868400285486764</v>
      </c>
      <c r="H22" s="72">
        <f>'App 1_5Yr Revenue'!H45</f>
        <v>14.007084288341632</v>
      </c>
      <c r="I22" s="72">
        <f>'App 1_5Yr Revenue'!I45</f>
        <v>14.147155131225048</v>
      </c>
    </row>
    <row r="23" spans="2:11">
      <c r="B23" s="872"/>
      <c r="E23" s="32"/>
      <c r="F23" s="32"/>
      <c r="G23" s="32"/>
      <c r="H23" s="32"/>
      <c r="I23" s="32"/>
    </row>
    <row r="24" spans="2:11" s="26" customFormat="1">
      <c r="B24" s="871" t="s">
        <v>138</v>
      </c>
      <c r="C24" s="26" t="s">
        <v>139</v>
      </c>
      <c r="E24" s="33"/>
      <c r="F24" s="33"/>
      <c r="G24" s="33"/>
      <c r="H24" s="33"/>
      <c r="I24" s="33"/>
      <c r="K24" s="792"/>
    </row>
    <row r="25" spans="2:11" outlineLevel="1">
      <c r="B25" s="872"/>
      <c r="C25" s="25" t="s">
        <v>19</v>
      </c>
      <c r="E25" s="32">
        <f t="shared" ref="E25:I27" si="0">-E10*(1-E31)</f>
        <v>-194232.51940884479</v>
      </c>
      <c r="F25" s="32">
        <f t="shared" si="0"/>
        <v>-294262.26690439985</v>
      </c>
      <c r="G25" s="32">
        <f t="shared" si="0"/>
        <v>-416086.84540282132</v>
      </c>
      <c r="H25" s="32">
        <f t="shared" si="0"/>
        <v>-546322.02801390446</v>
      </c>
      <c r="I25" s="32">
        <f t="shared" si="0"/>
        <v>-717320.82278225652</v>
      </c>
    </row>
    <row r="26" spans="2:11" outlineLevel="1">
      <c r="B26" s="872"/>
      <c r="C26" s="25" t="s">
        <v>16</v>
      </c>
      <c r="E26" s="32">
        <f t="shared" si="0"/>
        <v>-1124664.9959601494</v>
      </c>
      <c r="F26" s="32">
        <f t="shared" si="0"/>
        <v>-2225253.9778214283</v>
      </c>
      <c r="G26" s="32">
        <f t="shared" si="0"/>
        <v>-3146509.1246394995</v>
      </c>
      <c r="H26" s="32">
        <f t="shared" si="0"/>
        <v>-4131366.4806516632</v>
      </c>
      <c r="I26" s="32">
        <f t="shared" si="0"/>
        <v>-5424484.189095634</v>
      </c>
    </row>
    <row r="27" spans="2:11" outlineLevel="1">
      <c r="B27" s="872"/>
      <c r="C27" s="25" t="s">
        <v>17</v>
      </c>
      <c r="E27" s="32">
        <f t="shared" si="0"/>
        <v>-413042.90752462501</v>
      </c>
      <c r="F27" s="32">
        <f t="shared" si="0"/>
        <v>-625760.00489980693</v>
      </c>
      <c r="G27" s="32">
        <f t="shared" si="0"/>
        <v>-884824.64692832704</v>
      </c>
      <c r="H27" s="32">
        <f t="shared" si="0"/>
        <v>-1161774.7614168932</v>
      </c>
      <c r="I27" s="32">
        <f t="shared" si="0"/>
        <v>-1525410.2617403811</v>
      </c>
    </row>
    <row r="28" spans="2:11" ht="4.5" customHeight="1" outlineLevel="1">
      <c r="B28" s="872"/>
      <c r="E28" s="34"/>
      <c r="F28" s="34"/>
      <c r="G28" s="34"/>
      <c r="H28" s="34"/>
      <c r="I28" s="34"/>
    </row>
    <row r="29" spans="2:11">
      <c r="B29" s="872"/>
      <c r="E29" s="33">
        <f>SUM(E25:E28)</f>
        <v>-1731940.4228936194</v>
      </c>
      <c r="F29" s="33">
        <f>SUM(F25:F28)</f>
        <v>-3145276.2496256349</v>
      </c>
      <c r="G29" s="33">
        <f>SUM(G25:G28)</f>
        <v>-4447420.6169706481</v>
      </c>
      <c r="H29" s="33">
        <f>SUM(H25:H28)</f>
        <v>-5839463.2700824607</v>
      </c>
      <c r="I29" s="33">
        <f>SUM(I25:I28)</f>
        <v>-7667215.2736182716</v>
      </c>
    </row>
    <row r="30" spans="2:11" outlineLevel="2">
      <c r="B30" s="872"/>
      <c r="C30" s="26" t="s">
        <v>1659</v>
      </c>
      <c r="E30" s="32"/>
      <c r="F30" s="32"/>
      <c r="G30" s="32"/>
      <c r="H30" s="32"/>
      <c r="I30" s="32"/>
    </row>
    <row r="31" spans="2:11" outlineLevel="2">
      <c r="B31" s="872"/>
      <c r="C31" s="25" t="s">
        <v>19</v>
      </c>
      <c r="E31" s="633">
        <f>1-COGS!$C$10</f>
        <v>0.65</v>
      </c>
      <c r="F31" s="633">
        <f>1-COGS!$C$10</f>
        <v>0.65</v>
      </c>
      <c r="G31" s="633">
        <f>1-COGS!$C$10</f>
        <v>0.65</v>
      </c>
      <c r="H31" s="633">
        <f>1-COGS!$C$10</f>
        <v>0.65</v>
      </c>
      <c r="I31" s="633">
        <f>1-COGS!$C$10</f>
        <v>0.65</v>
      </c>
    </row>
    <row r="32" spans="2:11" outlineLevel="2">
      <c r="B32" s="872"/>
      <c r="C32" s="25" t="s">
        <v>16</v>
      </c>
      <c r="E32" s="633">
        <f>1-COGS!$C$10</f>
        <v>0.65</v>
      </c>
      <c r="F32" s="633">
        <f>1-COGS!$C$10</f>
        <v>0.65</v>
      </c>
      <c r="G32" s="633">
        <f>1-COGS!$C$10</f>
        <v>0.65</v>
      </c>
      <c r="H32" s="633">
        <f>1-COGS!$C$10</f>
        <v>0.65</v>
      </c>
      <c r="I32" s="633">
        <f>1-COGS!$C$10</f>
        <v>0.65</v>
      </c>
    </row>
    <row r="33" spans="2:16" outlineLevel="2">
      <c r="B33" s="872"/>
      <c r="C33" s="25" t="s">
        <v>17</v>
      </c>
      <c r="E33" s="633">
        <f>1-COGS!$C$10</f>
        <v>0.65</v>
      </c>
      <c r="F33" s="633">
        <f>1-COGS!$C$10</f>
        <v>0.65</v>
      </c>
      <c r="G33" s="633">
        <f>1-COGS!$C$10</f>
        <v>0.65</v>
      </c>
      <c r="H33" s="633">
        <f>1-COGS!$C$10</f>
        <v>0.65</v>
      </c>
      <c r="I33" s="633">
        <f>1-COGS!$C$10</f>
        <v>0.65</v>
      </c>
    </row>
    <row r="34" spans="2:16">
      <c r="B34" s="872"/>
      <c r="E34" s="32"/>
      <c r="F34" s="32"/>
      <c r="G34" s="32"/>
      <c r="H34" s="32"/>
      <c r="I34" s="32"/>
    </row>
    <row r="35" spans="2:16" s="26" customFormat="1">
      <c r="B35" s="871" t="s">
        <v>140</v>
      </c>
      <c r="C35" s="26" t="s">
        <v>141</v>
      </c>
      <c r="E35" s="33">
        <f>E14+E29</f>
        <v>3216460.7853738647</v>
      </c>
      <c r="F35" s="33">
        <f>F14+F29</f>
        <v>5841227.3207333237</v>
      </c>
      <c r="G35" s="33">
        <f>G14+G29</f>
        <v>8259495.4315169184</v>
      </c>
      <c r="H35" s="33">
        <f>H14+H29</f>
        <v>10844717.501581714</v>
      </c>
      <c r="I35" s="33">
        <f>I14+I29</f>
        <v>14239114.079576792</v>
      </c>
    </row>
    <row r="36" spans="2:16">
      <c r="B36" s="872"/>
      <c r="E36" s="32"/>
      <c r="F36" s="32"/>
      <c r="G36" s="32"/>
      <c r="H36" s="32"/>
      <c r="I36" s="32"/>
    </row>
    <row r="37" spans="2:16" s="26" customFormat="1">
      <c r="B37" s="871" t="s">
        <v>142</v>
      </c>
      <c r="C37" s="26" t="s">
        <v>143</v>
      </c>
      <c r="E37" s="33"/>
      <c r="F37" s="33"/>
      <c r="G37" s="33"/>
      <c r="H37" s="33"/>
      <c r="I37" s="33"/>
    </row>
    <row r="38" spans="2:16" outlineLevel="1">
      <c r="B38" s="872"/>
      <c r="C38" s="25" t="s">
        <v>929</v>
      </c>
      <c r="E38" s="32">
        <f>-'App 8_5Yr Headcount'!L22</f>
        <v>-928372.5</v>
      </c>
      <c r="F38" s="32">
        <f>-'App 8_5Yr Headcount'!M22</f>
        <v>-999769.5</v>
      </c>
      <c r="G38" s="32">
        <f>-'App 8_5Yr Headcount'!N22</f>
        <v>-1547937.9720000001</v>
      </c>
      <c r="H38" s="32">
        <f>-'App 8_5Yr Headcount'!O22</f>
        <v>-1647777.6796500001</v>
      </c>
      <c r="I38" s="32">
        <f>-'App 8_5Yr Headcount'!P22</f>
        <v>-1750391.3013119998</v>
      </c>
      <c r="K38" s="633"/>
      <c r="L38" s="633"/>
      <c r="M38" s="633"/>
      <c r="N38" s="633"/>
      <c r="O38" s="633"/>
      <c r="P38" s="633"/>
    </row>
    <row r="39" spans="2:16" outlineLevel="1">
      <c r="B39" s="872"/>
      <c r="C39" s="25" t="str">
        <f>'App 10_5Yr Op Exp'!B8</f>
        <v>Administration</v>
      </c>
      <c r="E39" s="32">
        <f>-'App 10_5Yr Op Exp'!E8</f>
        <v>-73402.006041337416</v>
      </c>
      <c r="F39" s="32">
        <f>-'App 10_5Yr Op Exp'!F8</f>
        <v>-111316.51785179479</v>
      </c>
      <c r="G39" s="32">
        <f>-'App 10_5Yr Op Exp'!G8</f>
        <v>-144038.45224243784</v>
      </c>
      <c r="H39" s="32">
        <f>-'App 10_5Yr Op Exp'!H8</f>
        <v>-167379.17265832087</v>
      </c>
      <c r="I39" s="32">
        <f>-'App 10_5Yr Op Exp'!I8</f>
        <v>-196273.58753397531</v>
      </c>
      <c r="K39" s="633"/>
      <c r="L39" s="633"/>
      <c r="M39" s="633"/>
      <c r="N39" s="633"/>
      <c r="O39" s="633"/>
    </row>
    <row r="40" spans="2:16" outlineLevel="1">
      <c r="B40" s="872"/>
      <c r="C40" s="25" t="str">
        <f>'App 10_5Yr Op Exp'!B9</f>
        <v>Office Rent, Utilities&amp; Supplies</v>
      </c>
      <c r="E40" s="32">
        <f>-'App 10_5Yr Op Exp'!E9</f>
        <v>-327414.01208267483</v>
      </c>
      <c r="F40" s="32">
        <f>-'App 10_5Yr Op Exp'!F9</f>
        <v>-374961.03570358956</v>
      </c>
      <c r="G40" s="32">
        <f>-'App 10_5Yr Op Exp'!G9</f>
        <v>-705043.54448487575</v>
      </c>
      <c r="H40" s="32">
        <f>-'App 10_5Yr Op Exp'!H9</f>
        <v>-757203.18451664178</v>
      </c>
      <c r="I40" s="32">
        <f>-'App 10_5Yr Op Exp'!I9</f>
        <v>-821683.16970595089</v>
      </c>
      <c r="K40" s="633"/>
      <c r="L40" s="633"/>
      <c r="M40" s="633"/>
      <c r="N40" s="633"/>
      <c r="O40" s="633"/>
    </row>
    <row r="41" spans="2:16" outlineLevel="1">
      <c r="B41" s="872"/>
      <c r="C41" s="25" t="str">
        <f>'App 10_5Yr Op Exp'!B10</f>
        <v>Marketing &amp; Advertising</v>
      </c>
      <c r="E41" s="32">
        <f>-'App 10_5Yr Op Exp'!E10</f>
        <v>-97500</v>
      </c>
      <c r="F41" s="32">
        <f>-'App 10_5Yr Op Exp'!F10</f>
        <v>-179730.07140717917</v>
      </c>
      <c r="G41" s="32">
        <f>-'App 10_5Yr Op Exp'!G10</f>
        <v>-254138.32096975134</v>
      </c>
      <c r="H41" s="32">
        <f>-'App 10_5Yr Op Exp'!H10</f>
        <v>-333683.6154332835</v>
      </c>
      <c r="I41" s="32">
        <f>-'App 10_5Yr Op Exp'!I10</f>
        <v>-438126.5870639013</v>
      </c>
      <c r="K41" s="633"/>
      <c r="L41" s="633"/>
      <c r="M41" s="633"/>
      <c r="N41" s="633"/>
      <c r="O41" s="633"/>
    </row>
    <row r="42" spans="2:16" outlineLevel="1">
      <c r="B42" s="872"/>
      <c r="C42" s="25" t="str">
        <f>'App 10_5Yr Op Exp'!B11</f>
        <v>Education &amp; Training</v>
      </c>
      <c r="E42" s="32">
        <f>-'App 10_5Yr Op Exp'!E11</f>
        <v>-6850</v>
      </c>
      <c r="F42" s="32">
        <f>-'App 10_5Yr Op Exp'!F11</f>
        <v>-7923.5999999999985</v>
      </c>
      <c r="G42" s="32">
        <f>-'App 10_5Yr Op Exp'!G11</f>
        <v>-13633.404000000002</v>
      </c>
      <c r="H42" s="32">
        <f>-'App 10_5Yr Op Exp'!H11</f>
        <v>-14492.607960000001</v>
      </c>
      <c r="I42" s="32">
        <f>-'App 10_5Yr Op Exp'!I11</f>
        <v>-15381.228606000001</v>
      </c>
      <c r="K42" s="633"/>
      <c r="L42" s="633"/>
      <c r="M42" s="633"/>
      <c r="N42" s="633"/>
      <c r="O42" s="633"/>
    </row>
    <row r="43" spans="2:16" outlineLevel="1">
      <c r="B43" s="872"/>
      <c r="C43" s="25" t="str">
        <f>'App 10_5Yr Op Exp'!B12</f>
        <v>Maintenance</v>
      </c>
      <c r="E43" s="32">
        <f ca="1">-'App 10_5Yr Op Exp'!E12</f>
        <v>-362185.09999999992</v>
      </c>
      <c r="F43" s="32">
        <f ca="1">-'App 10_5Yr Op Exp'!F12</f>
        <v>-362185.09999999992</v>
      </c>
      <c r="G43" s="32">
        <f ca="1">-'App 10_5Yr Op Exp'!G12</f>
        <v>-342056.73328110483</v>
      </c>
      <c r="H43" s="32">
        <f ca="1">-'App 10_5Yr Op Exp'!H12</f>
        <v>-373202.92761604453</v>
      </c>
      <c r="I43" s="32">
        <f ca="1">-'App 10_5Yr Op Exp'!I12</f>
        <v>-299006.02441126556</v>
      </c>
      <c r="K43" s="633"/>
      <c r="L43" s="633"/>
      <c r="M43" s="633"/>
      <c r="N43" s="633"/>
      <c r="O43" s="633"/>
    </row>
    <row r="44" spans="2:16" outlineLevel="1">
      <c r="B44" s="872"/>
      <c r="C44" s="25" t="str">
        <f>'App 10_5Yr Op Exp'!B13</f>
        <v>Commission &amp; Others</v>
      </c>
      <c r="E44" s="51">
        <f>-'App 10_5Yr Op Exp'!E13</f>
        <v>-117468.02416534966</v>
      </c>
      <c r="F44" s="51">
        <f ca="1">-'App 10_5Yr Op Exp'!F13</f>
        <v>-990780.94039187336</v>
      </c>
      <c r="G44" s="51">
        <f ca="1">-'App 10_5Yr Op Exp'!G13</f>
        <v>-1240625.9828366521</v>
      </c>
      <c r="H44" s="51">
        <f ca="1">-'App 10_5Yr Op Exp'!H13</f>
        <v>-1523655.0522105191</v>
      </c>
      <c r="I44" s="51">
        <f ca="1">-'App 10_5Yr Op Exp'!I13</f>
        <v>-1837646.1470919389</v>
      </c>
      <c r="K44" s="633"/>
      <c r="L44" s="633"/>
      <c r="M44" s="633"/>
      <c r="N44" s="633"/>
      <c r="O44" s="633"/>
    </row>
    <row r="45" spans="2:16" ht="4.5" customHeight="1" outlineLevel="1">
      <c r="B45" s="872"/>
      <c r="E45" s="34"/>
      <c r="F45" s="34"/>
      <c r="G45" s="34"/>
      <c r="H45" s="34"/>
      <c r="I45" s="34"/>
    </row>
    <row r="46" spans="2:16">
      <c r="B46" s="872"/>
      <c r="E46" s="33">
        <f ca="1">SUM(E38:E45)</f>
        <v>-1913191.6422893619</v>
      </c>
      <c r="F46" s="33">
        <f ca="1">SUM(F38:F45)</f>
        <v>-3026666.7653544368</v>
      </c>
      <c r="G46" s="33">
        <f ca="1">SUM(G38:G45)</f>
        <v>-4247474.4098148216</v>
      </c>
      <c r="H46" s="33">
        <f ca="1">SUM(H38:H45)</f>
        <v>-4817394.2400448099</v>
      </c>
      <c r="I46" s="33">
        <f ca="1">SUM(I38:I45)</f>
        <v>-5358508.0457250318</v>
      </c>
    </row>
    <row r="47" spans="2:16">
      <c r="B47" s="872"/>
      <c r="E47" s="33"/>
      <c r="F47" s="32"/>
      <c r="G47" s="32"/>
      <c r="H47" s="32"/>
      <c r="I47" s="32"/>
    </row>
    <row r="48" spans="2:16" s="26" customFormat="1">
      <c r="B48" s="871" t="s">
        <v>144</v>
      </c>
      <c r="C48" s="26" t="s">
        <v>145</v>
      </c>
      <c r="E48" s="290">
        <f ca="1">E35+E46</f>
        <v>1303269.1430845028</v>
      </c>
      <c r="F48" s="290">
        <f ca="1">F35+F46</f>
        <v>2814560.5553788869</v>
      </c>
      <c r="G48" s="290">
        <f ca="1">G35+G46</f>
        <v>4012021.0217020968</v>
      </c>
      <c r="H48" s="290">
        <f ca="1">H35+H46</f>
        <v>6027323.2615369037</v>
      </c>
      <c r="I48" s="290">
        <f ca="1">I35+I46</f>
        <v>8880606.0338517614</v>
      </c>
    </row>
    <row r="49" spans="2:9">
      <c r="B49" s="872"/>
    </row>
    <row r="50" spans="2:9">
      <c r="B50" s="872"/>
      <c r="C50" s="25" t="s">
        <v>147</v>
      </c>
      <c r="E50" s="32">
        <f ca="1">'App 5_5-Yr Capex'!D14</f>
        <v>-1441955.8095238095</v>
      </c>
      <c r="F50" s="32">
        <f ca="1">'App 5_5-Yr Capex'!E14</f>
        <v>-1728132.5224489798</v>
      </c>
      <c r="G50" s="32">
        <f ca="1">'App 5_5-Yr Capex'!F14</f>
        <v>-2287958.4464528672</v>
      </c>
      <c r="H50" s="32">
        <f ca="1">'App 5_5-Yr Capex'!G14</f>
        <v>-2569102.4685825356</v>
      </c>
      <c r="I50" s="32">
        <f ca="1">'App 5_5-Yr Capex'!H14</f>
        <v>-2848058.3104385086</v>
      </c>
    </row>
    <row r="51" spans="2:9">
      <c r="B51" s="872"/>
      <c r="E51" s="72"/>
      <c r="F51" s="72"/>
      <c r="G51" s="72"/>
      <c r="H51" s="72"/>
      <c r="I51" s="72"/>
    </row>
    <row r="52" spans="2:9" s="26" customFormat="1">
      <c r="B52" s="871" t="s">
        <v>146</v>
      </c>
      <c r="C52" s="26" t="s">
        <v>148</v>
      </c>
      <c r="E52" s="33">
        <f ca="1">E48+E50</f>
        <v>-138686.66643930669</v>
      </c>
      <c r="F52" s="33">
        <f ca="1">F48+F50</f>
        <v>1086428.0329299071</v>
      </c>
      <c r="G52" s="33">
        <f ca="1">G48+G50</f>
        <v>1724062.5752492296</v>
      </c>
      <c r="H52" s="33">
        <f ca="1">H48+H50</f>
        <v>3458220.7929543681</v>
      </c>
      <c r="I52" s="33">
        <f ca="1">I48+I50</f>
        <v>6032547.7234132532</v>
      </c>
    </row>
    <row r="53" spans="2:9">
      <c r="B53" s="872"/>
      <c r="E53" s="32"/>
      <c r="F53" s="32"/>
      <c r="G53" s="32"/>
      <c r="H53" s="32"/>
      <c r="I53" s="32"/>
    </row>
    <row r="54" spans="2:9">
      <c r="B54" s="872"/>
      <c r="C54" s="25" t="s">
        <v>149</v>
      </c>
      <c r="E54" s="32">
        <f ca="1">-'4. Initial Inv''t Size'!H27</f>
        <v>-149164.3080940225</v>
      </c>
      <c r="F54" s="32">
        <f ca="1">-'4. Initial Inv''t Size'!I27</f>
        <v>-134247.87728462025</v>
      </c>
      <c r="G54" s="32">
        <f ca="1">-'4. Initial Inv''t Size'!J27</f>
        <v>-119331.44647521799</v>
      </c>
      <c r="H54" s="32">
        <f ca="1">-'4. Initial Inv''t Size'!K27</f>
        <v>-104415.01566581574</v>
      </c>
      <c r="I54" s="32">
        <f ca="1">-'4. Initial Inv''t Size'!L27</f>
        <v>-89498.584856413479</v>
      </c>
    </row>
    <row r="55" spans="2:9">
      <c r="B55" s="872"/>
      <c r="E55" s="72"/>
      <c r="F55" s="72"/>
      <c r="G55" s="72"/>
      <c r="H55" s="72"/>
      <c r="I55" s="72"/>
    </row>
    <row r="56" spans="2:9" s="26" customFormat="1">
      <c r="B56" s="871" t="s">
        <v>150</v>
      </c>
      <c r="C56" s="26" t="s">
        <v>151</v>
      </c>
      <c r="E56" s="33">
        <f ca="1">E52+E54</f>
        <v>-287850.97453332919</v>
      </c>
      <c r="F56" s="33">
        <f ca="1">F52+F54</f>
        <v>952180.1556452869</v>
      </c>
      <c r="G56" s="33">
        <f ca="1">G52+G54</f>
        <v>1604731.1287740115</v>
      </c>
      <c r="H56" s="33">
        <f ca="1">H52+H54</f>
        <v>3353805.7772885524</v>
      </c>
      <c r="I56" s="33">
        <f ca="1">I52+I54</f>
        <v>5943049.1385568399</v>
      </c>
    </row>
    <row r="57" spans="2:9">
      <c r="B57" s="872"/>
      <c r="E57" s="72"/>
      <c r="F57" s="72"/>
      <c r="G57" s="72"/>
      <c r="H57" s="72"/>
      <c r="I57" s="72"/>
    </row>
    <row r="58" spans="2:9">
      <c r="B58" s="872"/>
      <c r="C58" s="25" t="s">
        <v>923</v>
      </c>
      <c r="E58" s="32">
        <f ca="1">E76</f>
        <v>0</v>
      </c>
      <c r="F58" s="32">
        <f ca="1">F76</f>
        <v>0</v>
      </c>
      <c r="G58" s="32">
        <f ca="1">G76</f>
        <v>0</v>
      </c>
      <c r="H58" s="32">
        <f ca="1">H76</f>
        <v>0</v>
      </c>
      <c r="I58" s="32">
        <f ca="1">I76</f>
        <v>594304.91385568399</v>
      </c>
    </row>
    <row r="59" spans="2:9">
      <c r="B59" s="872"/>
      <c r="E59" s="72"/>
      <c r="F59" s="72"/>
      <c r="G59" s="72"/>
      <c r="H59" s="72"/>
      <c r="I59" s="72"/>
    </row>
    <row r="60" spans="2:9" s="26" customFormat="1">
      <c r="B60" s="871" t="s">
        <v>924</v>
      </c>
      <c r="C60" s="26" t="s">
        <v>925</v>
      </c>
      <c r="E60" s="290">
        <f ca="1">E56+E58</f>
        <v>-287850.97453332919</v>
      </c>
      <c r="F60" s="290">
        <f ca="1">F56+F58</f>
        <v>952180.1556452869</v>
      </c>
      <c r="G60" s="290">
        <f ca="1">G56+G58</f>
        <v>1604731.1287740115</v>
      </c>
      <c r="H60" s="290">
        <f ca="1">H56+H58</f>
        <v>3353805.7772885524</v>
      </c>
      <c r="I60" s="290">
        <f ca="1">I56+I58</f>
        <v>6537354.0524125239</v>
      </c>
    </row>
    <row r="61" spans="2:9">
      <c r="B61" s="872"/>
    </row>
    <row r="62" spans="2:9">
      <c r="B62" s="872"/>
      <c r="C62" s="25" t="s">
        <v>1651</v>
      </c>
      <c r="E62" s="879">
        <f ca="1">E60/E14</f>
        <v>-5.8170500413831747E-2</v>
      </c>
      <c r="F62" s="879">
        <f ca="1">F60/F14</f>
        <v>0.10595668807009141</v>
      </c>
      <c r="G62" s="879">
        <f ca="1">G60/G14</f>
        <v>0.12628800903780377</v>
      </c>
      <c r="H62" s="879">
        <f ca="1">H60/H14</f>
        <v>0.20101710855258403</v>
      </c>
      <c r="I62" s="879">
        <f ca="1">I60/I14</f>
        <v>0.29842306974440896</v>
      </c>
    </row>
    <row r="63" spans="2:9">
      <c r="B63" s="872"/>
    </row>
    <row r="64" spans="2:9">
      <c r="C64" s="25" t="s">
        <v>1772</v>
      </c>
      <c r="E64" s="115">
        <v>0</v>
      </c>
      <c r="F64" s="115">
        <v>0</v>
      </c>
      <c r="G64" s="115">
        <v>0</v>
      </c>
      <c r="H64" s="115">
        <v>0</v>
      </c>
      <c r="I64" s="115">
        <v>0</v>
      </c>
    </row>
    <row r="65" spans="2:10">
      <c r="E65" s="115"/>
    </row>
    <row r="66" spans="2:10">
      <c r="C66" s="25" t="s">
        <v>1773</v>
      </c>
      <c r="E66" s="32">
        <f ca="1">IF(E60&lt;0,0,E60*E64)</f>
        <v>0</v>
      </c>
      <c r="F66" s="32">
        <f ca="1">IF(F60&lt;0,0,F60*F64)</f>
        <v>0</v>
      </c>
      <c r="G66" s="32">
        <f ca="1">IF(G60&lt;0,0,G60*G64)</f>
        <v>0</v>
      </c>
      <c r="H66" s="32">
        <f ca="1">IF(H60&lt;0,0,H60*H64)</f>
        <v>0</v>
      </c>
      <c r="I66" s="32">
        <f ca="1">IF(I60&lt;0,0,I60*I64)</f>
        <v>0</v>
      </c>
    </row>
    <row r="68" spans="2:10">
      <c r="B68" s="878"/>
      <c r="C68" s="878" t="s">
        <v>926</v>
      </c>
      <c r="D68" s="878"/>
      <c r="E68" s="878"/>
      <c r="F68" s="878"/>
      <c r="G68" s="878"/>
      <c r="H68" s="878"/>
      <c r="I68" s="878"/>
    </row>
    <row r="69" spans="2:10">
      <c r="E69" s="72"/>
      <c r="F69" s="72"/>
      <c r="G69" s="72"/>
      <c r="H69" s="72"/>
      <c r="I69" s="72"/>
    </row>
    <row r="70" spans="2:10">
      <c r="C70" s="25" t="str">
        <f>C56</f>
        <v>PROFIT BEFORE TAX</v>
      </c>
      <c r="E70" s="32">
        <f ca="1">E56</f>
        <v>-287850.97453332919</v>
      </c>
      <c r="F70" s="32">
        <f ca="1">F56</f>
        <v>952180.1556452869</v>
      </c>
      <c r="G70" s="32">
        <f ca="1">G56</f>
        <v>1604731.1287740115</v>
      </c>
      <c r="H70" s="32">
        <f ca="1">H56</f>
        <v>3353805.7772885524</v>
      </c>
      <c r="I70" s="32">
        <f ca="1">I56</f>
        <v>5943049.1385568399</v>
      </c>
    </row>
    <row r="71" spans="2:10">
      <c r="E71" s="32"/>
      <c r="F71" s="32"/>
      <c r="G71" s="32"/>
      <c r="H71" s="32"/>
      <c r="I71" s="32"/>
    </row>
    <row r="72" spans="2:10">
      <c r="C72" s="25" t="s">
        <v>927</v>
      </c>
      <c r="E72" s="32">
        <f ca="1">IF(E70&lt;0,0,E70)</f>
        <v>0</v>
      </c>
      <c r="F72" s="32">
        <f ca="1">IF(F70&lt;0,0,F70)</f>
        <v>952180.1556452869</v>
      </c>
      <c r="G72" s="32">
        <f ca="1">IF(G70&lt;0,0,G70)</f>
        <v>1604731.1287740115</v>
      </c>
      <c r="H72" s="32">
        <f ca="1">IF(H70&lt;0,0,H70)</f>
        <v>3353805.7772885524</v>
      </c>
      <c r="I72" s="32">
        <f ca="1">IF(I70&lt;0,0,I70)</f>
        <v>5943049.1385568399</v>
      </c>
    </row>
    <row r="73" spans="2:10">
      <c r="E73" s="32"/>
      <c r="F73" s="32"/>
      <c r="G73" s="32"/>
      <c r="H73" s="32"/>
      <c r="I73" s="32"/>
    </row>
    <row r="74" spans="2:10">
      <c r="C74" s="25" t="s">
        <v>1617</v>
      </c>
      <c r="E74" s="633">
        <v>0</v>
      </c>
      <c r="F74" s="633">
        <v>0</v>
      </c>
      <c r="G74" s="633">
        <v>0</v>
      </c>
      <c r="H74" s="633">
        <v>0</v>
      </c>
      <c r="I74" s="633">
        <v>0.1</v>
      </c>
      <c r="J74" s="25" t="s">
        <v>1653</v>
      </c>
    </row>
    <row r="75" spans="2:10">
      <c r="E75" s="633"/>
      <c r="F75" s="633"/>
      <c r="G75" s="633"/>
      <c r="H75" s="633"/>
      <c r="I75" s="633"/>
    </row>
    <row r="76" spans="2:10" ht="13.5" thickBot="1">
      <c r="C76" s="25" t="s">
        <v>928</v>
      </c>
      <c r="E76" s="436">
        <f ca="1">E72*E74</f>
        <v>0</v>
      </c>
      <c r="F76" s="436">
        <f ca="1">F72*F74</f>
        <v>0</v>
      </c>
      <c r="G76" s="436">
        <f ca="1">G72*G74</f>
        <v>0</v>
      </c>
      <c r="H76" s="436">
        <f ca="1">H72*H74</f>
        <v>0</v>
      </c>
      <c r="I76" s="436">
        <f ca="1">I72*I74</f>
        <v>594304.91385568399</v>
      </c>
    </row>
    <row r="77" spans="2:10" ht="13.5" thickTop="1"/>
  </sheetData>
  <pageMargins left="0.7" right="0.7" top="0.75" bottom="0.75" header="0.3" footer="0.3"/>
  <pageSetup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92D050"/>
  </sheetPr>
  <dimension ref="B2:J39"/>
  <sheetViews>
    <sheetView workbookViewId="0">
      <selection activeCell="J9" sqref="J9"/>
    </sheetView>
  </sheetViews>
  <sheetFormatPr defaultRowHeight="12.75"/>
  <cols>
    <col min="1" max="2" width="6.7109375" style="25" customWidth="1"/>
    <col min="3" max="3" width="33.42578125" style="25" customWidth="1"/>
    <col min="4" max="4" width="6.7109375" style="25" customWidth="1"/>
    <col min="5" max="9" width="14.28515625" style="25" customWidth="1"/>
    <col min="10" max="10" width="17.7109375" style="25" customWidth="1"/>
    <col min="11" max="16384" width="9.140625" style="25"/>
  </cols>
  <sheetData>
    <row r="2" spans="2:9">
      <c r="B2" s="877" t="s">
        <v>951</v>
      </c>
      <c r="E2" s="883"/>
      <c r="F2" s="883"/>
      <c r="G2" s="883"/>
      <c r="H2" s="883"/>
      <c r="I2" s="883"/>
    </row>
    <row r="3" spans="2:9">
      <c r="B3" s="877" t="s">
        <v>103</v>
      </c>
      <c r="E3" s="883"/>
      <c r="F3" s="883"/>
      <c r="G3" s="883"/>
      <c r="H3" s="883"/>
      <c r="I3" s="883"/>
    </row>
    <row r="4" spans="2:9">
      <c r="E4" s="883"/>
      <c r="F4" s="883"/>
      <c r="G4" s="883"/>
      <c r="H4" s="883"/>
      <c r="I4" s="883"/>
    </row>
    <row r="5" spans="2:9">
      <c r="B5" s="878"/>
      <c r="C5" s="878"/>
      <c r="D5" s="878"/>
      <c r="E5" s="881"/>
      <c r="F5" s="882"/>
      <c r="G5" s="882"/>
      <c r="H5" s="882"/>
      <c r="I5" s="417" t="s">
        <v>24</v>
      </c>
    </row>
    <row r="6" spans="2:9">
      <c r="B6" s="29"/>
      <c r="C6" s="29"/>
      <c r="D6" s="29"/>
      <c r="E6" s="106" t="s">
        <v>29</v>
      </c>
      <c r="F6" s="106" t="s">
        <v>30</v>
      </c>
      <c r="G6" s="106" t="s">
        <v>31</v>
      </c>
      <c r="H6" s="106" t="s">
        <v>32</v>
      </c>
      <c r="I6" s="106" t="s">
        <v>33</v>
      </c>
    </row>
    <row r="7" spans="2:9">
      <c r="B7" s="29"/>
      <c r="C7" s="29"/>
      <c r="D7" s="29"/>
      <c r="E7" s="106">
        <v>41791</v>
      </c>
      <c r="F7" s="106">
        <v>42156</v>
      </c>
      <c r="G7" s="106">
        <v>42522</v>
      </c>
      <c r="H7" s="106">
        <v>42887</v>
      </c>
      <c r="I7" s="106">
        <v>43252</v>
      </c>
    </row>
    <row r="8" spans="2:9">
      <c r="B8" s="884"/>
      <c r="C8" s="884"/>
      <c r="D8" s="884"/>
      <c r="E8" s="885"/>
      <c r="F8" s="885"/>
      <c r="G8" s="885"/>
      <c r="H8" s="885"/>
      <c r="I8" s="885"/>
    </row>
    <row r="9" spans="2:9">
      <c r="B9" s="48" t="s">
        <v>1785</v>
      </c>
      <c r="C9" s="48"/>
      <c r="D9" s="48"/>
      <c r="E9" s="886">
        <f>'1.Key Assumptions'!$D19*'2. 5-Yr Profit &amp; Loss'!E14</f>
        <v>123710.03020668711</v>
      </c>
      <c r="F9" s="886">
        <f>'1.Key Assumptions'!$D19*'2. 5-Yr Profit &amp; Loss'!F14</f>
        <v>224662.58925897395</v>
      </c>
      <c r="G9" s="886">
        <f>'1.Key Assumptions'!$D19*'2. 5-Yr Profit &amp; Loss'!G14</f>
        <v>317672.90121218917</v>
      </c>
      <c r="H9" s="886">
        <f>'1.Key Assumptions'!$D19*'2. 5-Yr Profit &amp; Loss'!H14</f>
        <v>417104.5192916044</v>
      </c>
      <c r="I9" s="886">
        <f>'1.Key Assumptions'!$D19*'2. 5-Yr Profit &amp; Loss'!I14</f>
        <v>547658.23382987664</v>
      </c>
    </row>
    <row r="10" spans="2:9">
      <c r="B10" s="48" t="s">
        <v>1782</v>
      </c>
      <c r="C10" s="48"/>
      <c r="D10" s="48"/>
      <c r="E10" s="886">
        <f ca="1">IF('5. 5-Yr Cashflow'!E37&lt;0,0,'5. 5-Yr Cashflow'!E37)</f>
        <v>0</v>
      </c>
      <c r="F10" s="886">
        <f ca="1">IF('5. 5-Yr Cashflow'!F37&lt;0,0,'5. 5-Yr Cashflow'!F37)</f>
        <v>0</v>
      </c>
      <c r="G10" s="886">
        <f ca="1">IF('5. 5-Yr Cashflow'!G37&lt;0,0,'5. 5-Yr Cashflow'!G37)</f>
        <v>214203.85128635989</v>
      </c>
      <c r="H10" s="886">
        <f ca="1">IF('5. 5-Yr Cashflow'!H37&lt;0,0,'5. 5-Yr Cashflow'!H37)</f>
        <v>3961457.5144462776</v>
      </c>
      <c r="I10" s="886">
        <f ca="1">IF('5. 5-Yr Cashflow'!I37&lt;0,0,'5. 5-Yr Cashflow'!I37)</f>
        <v>11019404.785944927</v>
      </c>
    </row>
    <row r="11" spans="2:9">
      <c r="B11" s="48" t="s">
        <v>939</v>
      </c>
      <c r="C11" s="48"/>
      <c r="D11" s="48"/>
      <c r="E11" s="886">
        <f>'2. 5-Yr Profit &amp; Loss'!E14/365*'1.Key Assumptions'!$D$20</f>
        <v>203358.95376441715</v>
      </c>
      <c r="F11" s="886">
        <f>'2. 5-Yr Profit &amp; Loss'!F14/365*'1.Key Assumptions'!$D$20</f>
        <v>369308.36590516265</v>
      </c>
      <c r="G11" s="886">
        <f>'2. 5-Yr Profit &amp; Loss'!G14/365*'1.Key Assumptions'!$D$20</f>
        <v>522202.02938989992</v>
      </c>
      <c r="H11" s="886">
        <f>'2. 5-Yr Profit &amp; Loss'!H14/365*'1.Key Assumptions'!$D$20</f>
        <v>685651.26458893868</v>
      </c>
      <c r="I11" s="886">
        <f>'2. 5-Yr Profit &amp; Loss'!I14/365*'1.Key Assumptions'!$D$20</f>
        <v>900260.11040527665</v>
      </c>
    </row>
    <row r="12" spans="2:9">
      <c r="B12" s="48" t="s">
        <v>940</v>
      </c>
      <c r="C12" s="48"/>
      <c r="D12" s="48"/>
      <c r="E12" s="886">
        <f>-'2. 5-Yr Profit &amp; Loss'!E$40*6/12</f>
        <v>163707.00604133742</v>
      </c>
      <c r="F12" s="886">
        <f>-'2. 5-Yr Profit &amp; Loss'!F$40*6/12</f>
        <v>187480.51785179475</v>
      </c>
      <c r="G12" s="886">
        <f>-'2. 5-Yr Profit &amp; Loss'!G$40*6/12</f>
        <v>352521.77224243787</v>
      </c>
      <c r="H12" s="886">
        <f>-'2. 5-Yr Profit &amp; Loss'!H$40*6/12</f>
        <v>378601.59225832089</v>
      </c>
      <c r="I12" s="886">
        <f>-'2. 5-Yr Profit &amp; Loss'!I$40*6/12</f>
        <v>410841.5848529755</v>
      </c>
    </row>
    <row r="13" spans="2:9">
      <c r="B13" s="48" t="s">
        <v>989</v>
      </c>
      <c r="C13" s="48"/>
      <c r="D13" s="48"/>
      <c r="E13" s="886">
        <f>'2. 5-Yr Profit &amp; Loss'!E14*5%</f>
        <v>247420.06041337422</v>
      </c>
      <c r="F13" s="886">
        <f>'2. 5-Yr Profit &amp; Loss'!F14*5%</f>
        <v>449325.1785179479</v>
      </c>
      <c r="G13" s="886">
        <f>'2. 5-Yr Profit &amp; Loss'!G14*5%</f>
        <v>635345.80242437834</v>
      </c>
      <c r="H13" s="886">
        <f>'2. 5-Yr Profit &amp; Loss'!H14*5%</f>
        <v>834209.03858320881</v>
      </c>
      <c r="I13" s="886">
        <f>'2. 5-Yr Profit &amp; Loss'!I14*5%</f>
        <v>1095316.4676597533</v>
      </c>
    </row>
    <row r="14" spans="2:9">
      <c r="B14" s="48"/>
      <c r="C14" s="48"/>
      <c r="D14" s="48"/>
      <c r="E14" s="887"/>
      <c r="F14" s="887"/>
      <c r="G14" s="887"/>
      <c r="H14" s="887"/>
      <c r="I14" s="887"/>
    </row>
    <row r="15" spans="2:9">
      <c r="B15" s="314" t="s">
        <v>941</v>
      </c>
      <c r="C15" s="314"/>
      <c r="D15" s="314"/>
      <c r="E15" s="888">
        <f ca="1">SUM(E9:E13)</f>
        <v>738196.05042581586</v>
      </c>
      <c r="F15" s="888">
        <f ca="1">SUM(F9:F13)</f>
        <v>1230776.6515338793</v>
      </c>
      <c r="G15" s="888">
        <f ca="1">SUM(G9:G13)</f>
        <v>2041946.3565552654</v>
      </c>
      <c r="H15" s="888">
        <f ca="1">SUM(H9:H13)</f>
        <v>6277023.929168351</v>
      </c>
      <c r="I15" s="888">
        <f ca="1">SUM(I9:I13)</f>
        <v>13973481.182692809</v>
      </c>
    </row>
    <row r="16" spans="2:9">
      <c r="B16" s="48"/>
      <c r="C16" s="48"/>
      <c r="D16" s="48"/>
      <c r="E16" s="889"/>
      <c r="F16" s="889"/>
      <c r="G16" s="889"/>
      <c r="H16" s="889"/>
      <c r="I16" s="889"/>
    </row>
    <row r="17" spans="2:10">
      <c r="B17" s="48" t="s">
        <v>1767</v>
      </c>
      <c r="C17" s="48"/>
      <c r="D17" s="48"/>
      <c r="E17" s="886">
        <f ca="1">'App 5_5-Yr Capex'!D12</f>
        <v>7075302</v>
      </c>
      <c r="F17" s="886">
        <f ca="1">'App 5_5-Yr Capex'!E12</f>
        <v>8490362.4000000004</v>
      </c>
      <c r="G17" s="886">
        <f ca="1">'App 5_5-Yr Capex'!F12</f>
        <v>11262761.800000001</v>
      </c>
      <c r="H17" s="886">
        <f ca="1">'App 5_5-Yr Capex'!G12</f>
        <v>12677822.200000001</v>
      </c>
      <c r="I17" s="886">
        <f ca="1">'App 5_5-Yr Capex'!H12</f>
        <v>14092882.6</v>
      </c>
    </row>
    <row r="18" spans="2:10">
      <c r="B18" s="48" t="s">
        <v>1766</v>
      </c>
      <c r="C18" s="48"/>
      <c r="D18" s="48"/>
      <c r="E18" s="886">
        <f ca="1">'App 5_5-Yr Capex'!D15</f>
        <v>-1441955.8095238095</v>
      </c>
      <c r="F18" s="886">
        <f ca="1">'App 5_5-Yr Capex'!E15</f>
        <v>-3170088.331972789</v>
      </c>
      <c r="G18" s="886">
        <f ca="1">'App 5_5-Yr Capex'!F15</f>
        <v>-5458046.7784256563</v>
      </c>
      <c r="H18" s="886">
        <f ca="1">'App 5_5-Yr Capex'!G15</f>
        <v>-8027149.2470081914</v>
      </c>
      <c r="I18" s="886">
        <f ca="1">'App 5_5-Yr Capex'!H15</f>
        <v>-10875207.5574467</v>
      </c>
    </row>
    <row r="19" spans="2:10">
      <c r="B19" s="48"/>
      <c r="C19" s="48"/>
      <c r="D19" s="48"/>
      <c r="E19" s="887"/>
      <c r="F19" s="887"/>
      <c r="G19" s="887"/>
      <c r="H19" s="887"/>
      <c r="I19" s="887"/>
    </row>
    <row r="20" spans="2:10">
      <c r="B20" s="314" t="s">
        <v>938</v>
      </c>
      <c r="C20" s="314"/>
      <c r="D20" s="314"/>
      <c r="E20" s="888">
        <f ca="1">SUM(E17:E18)</f>
        <v>5633346.1904761903</v>
      </c>
      <c r="F20" s="888">
        <f ca="1">SUM(F17:F18)</f>
        <v>5320274.0680272114</v>
      </c>
      <c r="G20" s="888">
        <f ca="1">SUM(G17:G18)</f>
        <v>5804715.0215743445</v>
      </c>
      <c r="H20" s="888">
        <f ca="1">SUM(H17:H18)</f>
        <v>4650672.9529918097</v>
      </c>
      <c r="I20" s="888">
        <f ca="1">SUM(I17:I18)</f>
        <v>3217675.0425533</v>
      </c>
      <c r="J20" s="890"/>
    </row>
    <row r="21" spans="2:10">
      <c r="B21" s="48"/>
      <c r="C21" s="48"/>
      <c r="D21" s="48"/>
      <c r="E21" s="889"/>
      <c r="F21" s="889"/>
      <c r="G21" s="889"/>
      <c r="H21" s="889"/>
      <c r="I21" s="889"/>
      <c r="J21" s="890"/>
    </row>
    <row r="22" spans="2:10" ht="13.5" thickBot="1">
      <c r="B22" s="314" t="s">
        <v>942</v>
      </c>
      <c r="C22" s="314"/>
      <c r="D22" s="314"/>
      <c r="E22" s="891">
        <f ca="1">E20+E15</f>
        <v>6371542.2409020066</v>
      </c>
      <c r="F22" s="891">
        <f ca="1">F20+F15</f>
        <v>6551050.7195610907</v>
      </c>
      <c r="G22" s="891">
        <f ca="1">G20+G15</f>
        <v>7846661.3781296099</v>
      </c>
      <c r="H22" s="891">
        <f ca="1">H20+H15</f>
        <v>10927696.882160161</v>
      </c>
      <c r="I22" s="891">
        <f ca="1">I20+I15</f>
        <v>17191156.225246109</v>
      </c>
    </row>
    <row r="23" spans="2:10" ht="13.5" thickTop="1">
      <c r="B23" s="48"/>
      <c r="C23" s="48"/>
      <c r="D23" s="48"/>
      <c r="E23" s="889"/>
      <c r="F23" s="889"/>
      <c r="G23" s="889"/>
      <c r="H23" s="889"/>
      <c r="I23" s="889"/>
    </row>
    <row r="24" spans="2:10">
      <c r="B24" s="48" t="s">
        <v>1778</v>
      </c>
      <c r="C24" s="48"/>
      <c r="D24" s="48"/>
      <c r="E24" s="886">
        <f ca="1">IF('5. 5-Yr Cashflow'!E37&gt;0,0,-'5. 5-Yr Cashflow'!E37)</f>
        <v>594325.59087829711</v>
      </c>
      <c r="F24" s="886">
        <f ca="1">IF('5. 5-Yr Cashflow'!F37&gt;0,0,-'5. 5-Yr Cashflow'!F37)</f>
        <v>72695.089234998333</v>
      </c>
      <c r="G24" s="886">
        <f ca="1">IF('5. 5-Yr Cashflow'!G37&gt;0,0,-'5. 5-Yr Cashflow'!G37)</f>
        <v>0</v>
      </c>
      <c r="H24" s="886">
        <f ca="1">IF('5. 5-Yr Cashflow'!H37&gt;0,0,-'5. 5-Yr Cashflow'!H37)</f>
        <v>0</v>
      </c>
      <c r="I24" s="886">
        <f ca="1">IF('5. 5-Yr Cashflow'!I37&gt;0,0,-'5. 5-Yr Cashflow'!I37)</f>
        <v>0</v>
      </c>
    </row>
    <row r="25" spans="2:10">
      <c r="B25" s="48" t="s">
        <v>943</v>
      </c>
      <c r="C25" s="48"/>
      <c r="D25" s="48"/>
      <c r="E25" s="886">
        <f ca="1">-SUM('2. 5-Yr Profit &amp; Loss'!E$39:E$44)/365*'1.Key Assumptions'!$D$21</f>
        <v>40472.019546138159</v>
      </c>
      <c r="F25" s="886">
        <f ca="1">-SUM('2. 5-Yr Profit &amp; Loss'!F$39:F$44)/365*'1.Key Assumptions'!$D$21</f>
        <v>83297.147891278219</v>
      </c>
      <c r="G25" s="886">
        <f ca="1">-SUM('2. 5-Yr Profit &amp; Loss'!G$39:G$44)/365*'1.Key Assumptions'!$D$21</f>
        <v>110939.8536088283</v>
      </c>
      <c r="H25" s="886">
        <f ca="1">-SUM('2. 5-Yr Profit &amp; Loss'!H$39:H$44)/365*'1.Key Assumptions'!$D$21</f>
        <v>130258.21481074559</v>
      </c>
      <c r="I25" s="886">
        <f ca="1">-SUM('2. 5-Yr Profit &amp; Loss'!I$39:I$44)/365*'1.Key Assumptions'!$D$21</f>
        <v>148278.7703183438</v>
      </c>
    </row>
    <row r="26" spans="2:10">
      <c r="B26" s="48" t="s">
        <v>944</v>
      </c>
      <c r="C26" s="48"/>
      <c r="D26" s="48"/>
      <c r="E26" s="886">
        <f>'App 8_5Yr Headcount'!L22*'App 9_Yr1 Headcount'!$F$53/12*3</f>
        <v>58023.28125</v>
      </c>
      <c r="F26" s="886">
        <f>'App 8_5Yr Headcount'!M22*'App 9_Yr1 Headcount'!$F$53/12*3</f>
        <v>62485.59375</v>
      </c>
      <c r="G26" s="886">
        <f>'App 8_5Yr Headcount'!N22*'App 9_Yr1 Headcount'!$F$53/12*3</f>
        <v>96746.123250000004</v>
      </c>
      <c r="H26" s="886">
        <f>'App 8_5Yr Headcount'!O22*'App 9_Yr1 Headcount'!$F$53/12*3</f>
        <v>102986.104978125</v>
      </c>
      <c r="I26" s="886">
        <f>'App 8_5Yr Headcount'!P22*'App 9_Yr1 Headcount'!$F$53/12*3</f>
        <v>109399.456332</v>
      </c>
    </row>
    <row r="27" spans="2:10">
      <c r="B27" s="314" t="s">
        <v>945</v>
      </c>
      <c r="C27" s="314"/>
      <c r="D27" s="314"/>
      <c r="E27" s="888">
        <f ca="1">SUM(E24:E26)</f>
        <v>692820.89167443523</v>
      </c>
      <c r="F27" s="888">
        <f ca="1">SUM(F24:F26)</f>
        <v>218477.83087627654</v>
      </c>
      <c r="G27" s="888">
        <f ca="1">SUM(G24:G26)</f>
        <v>207685.9768588283</v>
      </c>
      <c r="H27" s="888">
        <f ca="1">SUM(H24:H26)</f>
        <v>233244.31978887058</v>
      </c>
      <c r="I27" s="888">
        <f ca="1">SUM(I24:I26)</f>
        <v>257678.2266503438</v>
      </c>
    </row>
    <row r="28" spans="2:10">
      <c r="B28" s="48"/>
      <c r="C28" s="48"/>
      <c r="D28" s="48"/>
      <c r="E28" s="892"/>
      <c r="F28" s="892"/>
      <c r="G28" s="892"/>
      <c r="H28" s="892"/>
      <c r="I28" s="892"/>
    </row>
    <row r="29" spans="2:10">
      <c r="B29" s="48" t="s">
        <v>988</v>
      </c>
      <c r="C29" s="48"/>
      <c r="D29" s="48"/>
      <c r="E29" s="886">
        <f ca="1">'4. Initial Inv''t Size'!H23</f>
        <v>2983286.1618804499</v>
      </c>
      <c r="F29" s="886">
        <f ca="1">'4. Initial Inv''t Size'!I23</f>
        <v>2684957.5456924047</v>
      </c>
      <c r="G29" s="886">
        <f ca="1">'4. Initial Inv''t Size'!J23</f>
        <v>2386628.9295043596</v>
      </c>
      <c r="H29" s="886">
        <f ca="1">'4. Initial Inv''t Size'!K23</f>
        <v>2088300.3133163145</v>
      </c>
      <c r="I29" s="886">
        <f ca="1">'4. Initial Inv''t Size'!L23</f>
        <v>1789971.6971282694</v>
      </c>
    </row>
    <row r="30" spans="2:10">
      <c r="B30" s="48"/>
      <c r="C30" s="48"/>
      <c r="D30" s="48"/>
      <c r="E30" s="893"/>
      <c r="F30" s="893"/>
      <c r="G30" s="893"/>
      <c r="H30" s="893"/>
      <c r="I30" s="893"/>
    </row>
    <row r="31" spans="2:10">
      <c r="B31" s="314" t="s">
        <v>946</v>
      </c>
      <c r="C31" s="314"/>
      <c r="D31" s="314"/>
      <c r="E31" s="888">
        <f ca="1">SUM(E29:E30)</f>
        <v>2983286.1618804499</v>
      </c>
      <c r="F31" s="888">
        <f ca="1">SUM(F29:F30)</f>
        <v>2684957.5456924047</v>
      </c>
      <c r="G31" s="888">
        <f ca="1">SUM(G29:G30)</f>
        <v>2386628.9295043596</v>
      </c>
      <c r="H31" s="888">
        <f ca="1">SUM(H29:H30)</f>
        <v>2088300.3133163145</v>
      </c>
      <c r="I31" s="888">
        <f ca="1">SUM(I29:I30)</f>
        <v>1789971.6971282694</v>
      </c>
    </row>
    <row r="32" spans="2:10">
      <c r="B32" s="48"/>
      <c r="C32" s="48"/>
      <c r="D32" s="48"/>
      <c r="E32" s="889"/>
      <c r="F32" s="889"/>
      <c r="G32" s="889"/>
      <c r="H32" s="889"/>
      <c r="I32" s="889"/>
    </row>
    <row r="33" spans="2:9">
      <c r="B33" s="48" t="s">
        <v>947</v>
      </c>
      <c r="C33" s="48"/>
      <c r="D33" s="48"/>
      <c r="E33" s="886">
        <f ca="1">'4. Initial Inv''t Size'!H13</f>
        <v>2983286.1618804499</v>
      </c>
      <c r="F33" s="886">
        <f ca="1">'4. Initial Inv''t Size'!I13</f>
        <v>2983286.1618804499</v>
      </c>
      <c r="G33" s="886">
        <f ca="1">'4. Initial Inv''t Size'!J13</f>
        <v>2983286.1618804499</v>
      </c>
      <c r="H33" s="886">
        <f ca="1">'4. Initial Inv''t Size'!K13</f>
        <v>2983286.1618804499</v>
      </c>
      <c r="I33" s="886">
        <f ca="1">'4. Initial Inv''t Size'!L13</f>
        <v>2983286.1618804499</v>
      </c>
    </row>
    <row r="34" spans="2:9">
      <c r="B34" s="48" t="s">
        <v>948</v>
      </c>
      <c r="C34" s="48"/>
      <c r="D34" s="48"/>
      <c r="E34" s="893">
        <f ca="1">D34+'2. 5-Yr Profit &amp; Loss'!E60-'2. 5-Yr Profit &amp; Loss'!E66</f>
        <v>-287850.97453332919</v>
      </c>
      <c r="F34" s="893">
        <f ca="1">E34+'2. 5-Yr Profit &amp; Loss'!F60-'2. 5-Yr Profit &amp; Loss'!F66</f>
        <v>664329.18111195765</v>
      </c>
      <c r="G34" s="893">
        <f ca="1">F34+'2. 5-Yr Profit &amp; Loss'!G60-'2. 5-Yr Profit &amp; Loss'!G66</f>
        <v>2269060.3098859694</v>
      </c>
      <c r="H34" s="893">
        <f ca="1">G34+'2. 5-Yr Profit &amp; Loss'!H60-'2. 5-Yr Profit &amp; Loss'!H66</f>
        <v>5622866.0871745218</v>
      </c>
      <c r="I34" s="893">
        <f ca="1">H34+'2. 5-Yr Profit &amp; Loss'!I60-'2. 5-Yr Profit &amp; Loss'!I66</f>
        <v>12160220.139587045</v>
      </c>
    </row>
    <row r="35" spans="2:9">
      <c r="B35" s="314" t="s">
        <v>949</v>
      </c>
      <c r="C35" s="314"/>
      <c r="D35" s="314"/>
      <c r="E35" s="893">
        <f ca="1">SUM(E33:E34)</f>
        <v>2695435.1873471206</v>
      </c>
      <c r="F35" s="893">
        <f ca="1">SUM(F33:F34)</f>
        <v>3647615.3429924073</v>
      </c>
      <c r="G35" s="893">
        <f ca="1">SUM(G33:G34)</f>
        <v>5252346.4717664197</v>
      </c>
      <c r="H35" s="893">
        <f ca="1">SUM(H33:H34)</f>
        <v>8606152.2490549721</v>
      </c>
      <c r="I35" s="893">
        <f ca="1">SUM(I33:I34)</f>
        <v>15143506.301467495</v>
      </c>
    </row>
    <row r="36" spans="2:9">
      <c r="E36" s="894"/>
      <c r="F36" s="894"/>
      <c r="G36" s="894"/>
      <c r="H36" s="894"/>
      <c r="I36" s="894"/>
    </row>
    <row r="37" spans="2:9" ht="13.5" thickBot="1">
      <c r="B37" s="314" t="s">
        <v>950</v>
      </c>
      <c r="C37" s="314"/>
      <c r="D37" s="314"/>
      <c r="E37" s="891">
        <f ca="1">E27+E31+E35</f>
        <v>6371542.2409020057</v>
      </c>
      <c r="F37" s="891">
        <f ca="1">F27+F31+F35</f>
        <v>6551050.7195610888</v>
      </c>
      <c r="G37" s="891">
        <f ca="1">G27+G31+G35</f>
        <v>7846661.3781296071</v>
      </c>
      <c r="H37" s="891">
        <f ca="1">H27+H31+H35</f>
        <v>10927696.882160157</v>
      </c>
      <c r="I37" s="891">
        <f ca="1">I27+I31+I35</f>
        <v>17191156.225246109</v>
      </c>
    </row>
    <row r="38" spans="2:9" ht="13.5" thickTop="1">
      <c r="E38" s="894"/>
      <c r="F38" s="894"/>
      <c r="G38" s="894"/>
      <c r="H38" s="894"/>
      <c r="I38" s="894"/>
    </row>
    <row r="39" spans="2:9">
      <c r="B39" s="25" t="s">
        <v>968</v>
      </c>
      <c r="E39" s="895">
        <f ca="1">E37-E22</f>
        <v>0</v>
      </c>
      <c r="F39" s="895">
        <f ca="1">F37-F22</f>
        <v>0</v>
      </c>
      <c r="G39" s="895">
        <f ca="1">G37-G22</f>
        <v>0</v>
      </c>
      <c r="H39" s="895">
        <f ca="1">H37-H22</f>
        <v>0</v>
      </c>
      <c r="I39" s="895">
        <f ca="1">I37-I22</f>
        <v>0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FF00"/>
  </sheetPr>
  <dimension ref="B1:I39"/>
  <sheetViews>
    <sheetView workbookViewId="0">
      <selection activeCell="F43" sqref="F43"/>
    </sheetView>
  </sheetViews>
  <sheetFormatPr defaultRowHeight="12.75"/>
  <cols>
    <col min="1" max="2" width="6.7109375" style="25" customWidth="1"/>
    <col min="3" max="3" width="33.42578125" style="25" customWidth="1"/>
    <col min="4" max="4" width="6.7109375" style="25" customWidth="1"/>
    <col min="5" max="9" width="14.28515625" style="25" customWidth="1"/>
    <col min="10" max="16384" width="9.140625" style="25"/>
  </cols>
  <sheetData>
    <row r="1" spans="2:9">
      <c r="B1" s="877" t="s">
        <v>1705</v>
      </c>
    </row>
    <row r="2" spans="2:9">
      <c r="B2" s="877" t="s">
        <v>103</v>
      </c>
    </row>
    <row r="4" spans="2:9" s="48" customFormat="1">
      <c r="E4" s="51"/>
    </row>
    <row r="5" spans="2:9" s="314" customFormat="1">
      <c r="B5" s="880" t="s">
        <v>1706</v>
      </c>
      <c r="C5" s="440"/>
      <c r="D5" s="440"/>
      <c r="E5" s="881"/>
      <c r="F5" s="882"/>
      <c r="G5" s="882"/>
      <c r="H5" s="882"/>
      <c r="I5" s="417"/>
    </row>
    <row r="6" spans="2:9" s="48" customFormat="1">
      <c r="B6" s="31"/>
      <c r="C6" s="31"/>
      <c r="D6" s="31"/>
      <c r="E6" s="106" t="s">
        <v>29</v>
      </c>
      <c r="F6" s="106" t="s">
        <v>30</v>
      </c>
      <c r="G6" s="106" t="s">
        <v>31</v>
      </c>
      <c r="H6" s="106" t="s">
        <v>32</v>
      </c>
      <c r="I6" s="106" t="s">
        <v>33</v>
      </c>
    </row>
    <row r="7" spans="2:9" s="48" customFormat="1">
      <c r="B7" s="29"/>
      <c r="C7" s="29"/>
      <c r="D7" s="29"/>
      <c r="E7" s="106">
        <v>41821</v>
      </c>
      <c r="F7" s="106">
        <v>42186</v>
      </c>
      <c r="G7" s="106">
        <v>42552</v>
      </c>
      <c r="H7" s="106">
        <v>42917</v>
      </c>
      <c r="I7" s="106">
        <v>43282</v>
      </c>
    </row>
    <row r="8" spans="2:9" s="48" customFormat="1">
      <c r="B8" s="26" t="s">
        <v>1707</v>
      </c>
      <c r="C8" s="25"/>
      <c r="D8" s="25"/>
      <c r="E8" s="122"/>
      <c r="F8" s="122"/>
      <c r="G8" s="122"/>
      <c r="H8" s="122"/>
      <c r="I8" s="122"/>
    </row>
    <row r="9" spans="2:9" s="48" customFormat="1">
      <c r="B9" s="25" t="s">
        <v>1708</v>
      </c>
      <c r="C9" s="25"/>
      <c r="D9" s="25"/>
      <c r="E9" s="866">
        <f ca="1">'2. 5-Yr Profit &amp; Loss'!E60</f>
        <v>-287850.97453332919</v>
      </c>
      <c r="F9" s="866">
        <f ca="1">'2. 5-Yr Profit &amp; Loss'!F60</f>
        <v>952180.1556452869</v>
      </c>
      <c r="G9" s="866">
        <f ca="1">'2. 5-Yr Profit &amp; Loss'!G60</f>
        <v>1604731.1287740115</v>
      </c>
      <c r="H9" s="866">
        <f ca="1">'2. 5-Yr Profit &amp; Loss'!H60</f>
        <v>3353805.7772885524</v>
      </c>
      <c r="I9" s="866">
        <f ca="1">'2. 5-Yr Profit &amp; Loss'!I60</f>
        <v>6537354.0524125239</v>
      </c>
    </row>
    <row r="10" spans="2:9" s="48" customFormat="1">
      <c r="B10" s="48" t="s">
        <v>1709</v>
      </c>
      <c r="E10" s="873">
        <f ca="1">-'2. 5-Yr Profit &amp; Loss'!E54</f>
        <v>149164.3080940225</v>
      </c>
      <c r="F10" s="873">
        <f ca="1">-'2. 5-Yr Profit &amp; Loss'!F54</f>
        <v>134247.87728462025</v>
      </c>
      <c r="G10" s="873">
        <f ca="1">-'2. 5-Yr Profit &amp; Loss'!G54</f>
        <v>119331.44647521799</v>
      </c>
      <c r="H10" s="873">
        <f ca="1">-'2. 5-Yr Profit &amp; Loss'!H54</f>
        <v>104415.01566581574</v>
      </c>
      <c r="I10" s="873">
        <f ca="1">-'2. 5-Yr Profit &amp; Loss'!I54</f>
        <v>89498.584856413479</v>
      </c>
    </row>
    <row r="11" spans="2:9">
      <c r="B11" s="25" t="s">
        <v>1719</v>
      </c>
      <c r="E11" s="867">
        <f ca="1">-('3. Balance sheets'!E18-'3. Balance sheets'!D18)</f>
        <v>1441955.8095238095</v>
      </c>
      <c r="F11" s="867">
        <f ca="1">-('3. Balance sheets'!F18-'3. Balance sheets'!E18)</f>
        <v>1728132.5224489796</v>
      </c>
      <c r="G11" s="867">
        <f ca="1">-('3. Balance sheets'!G18-'3. Balance sheets'!F18)</f>
        <v>2287958.4464528672</v>
      </c>
      <c r="H11" s="867">
        <f ca="1">-('3. Balance sheets'!H18-'3. Balance sheets'!G18)</f>
        <v>2569102.4685825352</v>
      </c>
      <c r="I11" s="867">
        <f ca="1">-('3. Balance sheets'!I18-'3. Balance sheets'!H18)</f>
        <v>2848058.3104385082</v>
      </c>
    </row>
    <row r="12" spans="2:9">
      <c r="B12" s="25" t="s">
        <v>1710</v>
      </c>
      <c r="E12" s="866">
        <f ca="1">SUM(E9:E11)</f>
        <v>1303269.1430845028</v>
      </c>
      <c r="F12" s="866">
        <f t="shared" ref="F12:I12" ca="1" si="0">SUM(F9:F11)</f>
        <v>2814560.5553788869</v>
      </c>
      <c r="G12" s="866">
        <f t="shared" ca="1" si="0"/>
        <v>4012021.0217020968</v>
      </c>
      <c r="H12" s="866">
        <f t="shared" ca="1" si="0"/>
        <v>6027323.2615369037</v>
      </c>
      <c r="I12" s="866">
        <f t="shared" ca="1" si="0"/>
        <v>9474910.9477074444</v>
      </c>
    </row>
    <row r="13" spans="2:9" ht="6" customHeight="1">
      <c r="E13" s="866"/>
      <c r="F13" s="866"/>
      <c r="G13" s="866"/>
      <c r="H13" s="866"/>
      <c r="I13" s="866"/>
    </row>
    <row r="14" spans="2:9">
      <c r="B14" s="25" t="s">
        <v>1758</v>
      </c>
      <c r="E14" s="866">
        <f>-('3. Balance sheets'!E13-'3. Balance sheets'!D13)</f>
        <v>-247420.06041337422</v>
      </c>
      <c r="F14" s="866">
        <f>-('3. Balance sheets'!F13-'3. Balance sheets'!E13)</f>
        <v>-201905.11810457369</v>
      </c>
      <c r="G14" s="866">
        <f>-('3. Balance sheets'!G13-'3. Balance sheets'!F13)</f>
        <v>-186020.62390643044</v>
      </c>
      <c r="H14" s="866">
        <f>-('3. Balance sheets'!H13-'3. Balance sheets'!G13)</f>
        <v>-198863.23615883046</v>
      </c>
      <c r="I14" s="866">
        <f>-('3. Balance sheets'!I13-'3. Balance sheets'!H13)</f>
        <v>-261107.42907654447</v>
      </c>
    </row>
    <row r="15" spans="2:9">
      <c r="B15" s="25" t="s">
        <v>1760</v>
      </c>
      <c r="E15" s="866">
        <f ca="1">'3. Balance sheets'!E25-'3. Balance sheets'!D25</f>
        <v>40472.019546138159</v>
      </c>
      <c r="F15" s="866">
        <f ca="1">'3. Balance sheets'!F25-'3. Balance sheets'!E25</f>
        <v>42825.12834514006</v>
      </c>
      <c r="G15" s="866">
        <f ca="1">'3. Balance sheets'!G25-'3. Balance sheets'!F25</f>
        <v>27642.705717550081</v>
      </c>
      <c r="H15" s="866">
        <f ca="1">'3. Balance sheets'!H25-'3. Balance sheets'!G25</f>
        <v>19318.361201917287</v>
      </c>
      <c r="I15" s="866">
        <f ca="1">'3. Balance sheets'!I25-'3. Balance sheets'!H25</f>
        <v>18020.555507598212</v>
      </c>
    </row>
    <row r="16" spans="2:9">
      <c r="B16" s="25" t="s">
        <v>1765</v>
      </c>
      <c r="E16" s="866">
        <f>-(SUM('3. Balance sheets'!E11:E12)-SUM('3. Balance sheets'!D11:D12))</f>
        <v>-367065.9598057546</v>
      </c>
      <c r="F16" s="866">
        <f>-(SUM('3. Balance sheets'!F11:F12)-SUM('3. Balance sheets'!E11:E12))</f>
        <v>-189722.92395120277</v>
      </c>
      <c r="G16" s="866">
        <f>-(SUM('3. Balance sheets'!G11:G12)-SUM('3. Balance sheets'!F11:F12))</f>
        <v>-317934.91787538037</v>
      </c>
      <c r="H16" s="866">
        <f>-(SUM('3. Balance sheets'!H11:H12)-SUM('3. Balance sheets'!G11:G12))</f>
        <v>-189529.05521492194</v>
      </c>
      <c r="I16" s="866">
        <f>-(SUM('3. Balance sheets'!I11:I12)-SUM('3. Balance sheets'!H11:H12))</f>
        <v>-246848.83841099241</v>
      </c>
    </row>
    <row r="17" spans="2:9">
      <c r="B17" s="25" t="s">
        <v>1761</v>
      </c>
      <c r="E17" s="866">
        <f>('3. Balance sheets'!E26-'3. Balance sheets'!D26)</f>
        <v>58023.28125</v>
      </c>
      <c r="F17" s="866">
        <f>('3. Balance sheets'!F26-'3. Balance sheets'!E26)</f>
        <v>4462.3125</v>
      </c>
      <c r="G17" s="866">
        <f>('3. Balance sheets'!G26-'3. Balance sheets'!F26)</f>
        <v>34260.529500000004</v>
      </c>
      <c r="H17" s="866">
        <f>('3. Balance sheets'!H26-'3. Balance sheets'!G26)</f>
        <v>6239.9817281249998</v>
      </c>
      <c r="I17" s="866">
        <f>('3. Balance sheets'!I26-'3. Balance sheets'!H26)</f>
        <v>6413.3513538749976</v>
      </c>
    </row>
    <row r="18" spans="2:9">
      <c r="B18" s="26" t="s">
        <v>1711</v>
      </c>
      <c r="E18" s="868">
        <f ca="1">SUM(E12:E17)</f>
        <v>787278.42366151221</v>
      </c>
      <c r="F18" s="868">
        <f ca="1">SUM(F12:F17)</f>
        <v>2470219.9541682508</v>
      </c>
      <c r="G18" s="868">
        <f ca="1">SUM(G12:G17)</f>
        <v>3569968.7151378365</v>
      </c>
      <c r="H18" s="868">
        <f ca="1">SUM(H12:H17)</f>
        <v>5664489.3130931938</v>
      </c>
      <c r="I18" s="868">
        <f ca="1">SUM(I12:I17)</f>
        <v>8991388.5870813802</v>
      </c>
    </row>
    <row r="19" spans="2:9" ht="6" customHeight="1">
      <c r="E19" s="866"/>
      <c r="F19" s="866"/>
      <c r="G19" s="866"/>
      <c r="H19" s="866"/>
      <c r="I19" s="866"/>
    </row>
    <row r="20" spans="2:9">
      <c r="B20" s="26" t="s">
        <v>1712</v>
      </c>
      <c r="E20" s="866"/>
      <c r="F20" s="866"/>
      <c r="G20" s="866"/>
      <c r="H20" s="866"/>
      <c r="I20" s="866"/>
    </row>
    <row r="21" spans="2:9">
      <c r="B21" s="25" t="s">
        <v>1768</v>
      </c>
      <c r="E21" s="867">
        <f ca="1">-'App 5_5-Yr Capex'!D10</f>
        <v>-7075302</v>
      </c>
      <c r="F21" s="867">
        <f ca="1">-'App 5_5-Yr Capex'!E10</f>
        <v>-1415060.4</v>
      </c>
      <c r="G21" s="867">
        <f ca="1">-'App 5_5-Yr Capex'!F10</f>
        <v>-2772399.4</v>
      </c>
      <c r="H21" s="867">
        <f ca="1">-'App 5_5-Yr Capex'!G10</f>
        <v>-1415060.4</v>
      </c>
      <c r="I21" s="867">
        <f ca="1">-'App 5_5-Yr Capex'!H10</f>
        <v>-1415060.4</v>
      </c>
    </row>
    <row r="22" spans="2:9">
      <c r="B22" s="26" t="s">
        <v>1713</v>
      </c>
      <c r="E22" s="868">
        <f ca="1">SUM(E21:E21)</f>
        <v>-7075302</v>
      </c>
      <c r="F22" s="868">
        <f ca="1">SUM(F21:F21)</f>
        <v>-1415060.4</v>
      </c>
      <c r="G22" s="868">
        <f ca="1">SUM(G21:G21)</f>
        <v>-2772399.4</v>
      </c>
      <c r="H22" s="868">
        <f ca="1">SUM(H21:H21)</f>
        <v>-1415060.4</v>
      </c>
      <c r="I22" s="868">
        <f ca="1">SUM(I21:I21)</f>
        <v>-1415060.4</v>
      </c>
    </row>
    <row r="23" spans="2:9" ht="6" customHeight="1">
      <c r="E23" s="866"/>
      <c r="F23" s="866"/>
      <c r="G23" s="866"/>
      <c r="H23" s="866"/>
      <c r="I23" s="866"/>
    </row>
    <row r="24" spans="2:9">
      <c r="B24" s="26" t="s">
        <v>1714</v>
      </c>
      <c r="E24" s="866"/>
      <c r="F24" s="866"/>
      <c r="G24" s="866"/>
      <c r="H24" s="866"/>
      <c r="I24" s="866"/>
    </row>
    <row r="25" spans="2:9">
      <c r="B25" s="25" t="s">
        <v>1775</v>
      </c>
      <c r="E25" s="32">
        <f ca="1">'2. 5-Yr Profit &amp; Loss'!E54</f>
        <v>-149164.3080940225</v>
      </c>
      <c r="F25" s="32">
        <f ca="1">'2. 5-Yr Profit &amp; Loss'!F54</f>
        <v>-134247.87728462025</v>
      </c>
      <c r="G25" s="32">
        <f ca="1">'2. 5-Yr Profit &amp; Loss'!G54</f>
        <v>-119331.44647521799</v>
      </c>
      <c r="H25" s="32">
        <f ca="1">'2. 5-Yr Profit &amp; Loss'!H54</f>
        <v>-104415.01566581574</v>
      </c>
      <c r="I25" s="32">
        <f ca="1">'2. 5-Yr Profit &amp; Loss'!I54</f>
        <v>-89498.584856413479</v>
      </c>
    </row>
    <row r="26" spans="2:9">
      <c r="B26" s="25" t="s">
        <v>1777</v>
      </c>
      <c r="E26" s="32">
        <f ca="1">'4. Initial Inv''t Size'!H11</f>
        <v>2983286.1618804499</v>
      </c>
      <c r="F26" s="32">
        <f>'4. Initial Inv''t Size'!I11</f>
        <v>0</v>
      </c>
      <c r="G26" s="32">
        <f>'4. Initial Inv''t Size'!J11</f>
        <v>0</v>
      </c>
      <c r="H26" s="32">
        <f>'4. Initial Inv''t Size'!K11</f>
        <v>0</v>
      </c>
      <c r="I26" s="32">
        <f>'4. Initial Inv''t Size'!L11</f>
        <v>0</v>
      </c>
    </row>
    <row r="27" spans="2:9">
      <c r="B27" s="25" t="s">
        <v>1776</v>
      </c>
      <c r="D27" s="25">
        <v>0</v>
      </c>
      <c r="E27" s="32">
        <f>'4. Initial Inv''t Size'!H22</f>
        <v>0</v>
      </c>
      <c r="F27" s="32">
        <f ca="1">'4. Initial Inv''t Size'!I22</f>
        <v>-298328.61618804501</v>
      </c>
      <c r="G27" s="32">
        <f ca="1">'4. Initial Inv''t Size'!J22</f>
        <v>-298328.61618804501</v>
      </c>
      <c r="H27" s="32">
        <f ca="1">'4. Initial Inv''t Size'!K22</f>
        <v>-298328.61618804501</v>
      </c>
      <c r="I27" s="32">
        <f ca="1">'4. Initial Inv''t Size'!L22</f>
        <v>-298328.61618804501</v>
      </c>
    </row>
    <row r="28" spans="2:9">
      <c r="B28" s="25" t="s">
        <v>1715</v>
      </c>
      <c r="D28" s="25">
        <v>0</v>
      </c>
      <c r="E28" s="32">
        <f ca="1">'4. Initial Inv''t Size'!H11</f>
        <v>2983286.1618804499</v>
      </c>
      <c r="F28" s="32">
        <f>'4. Initial Inv''t Size'!I11</f>
        <v>0</v>
      </c>
      <c r="G28" s="32">
        <f>'4. Initial Inv''t Size'!J11</f>
        <v>0</v>
      </c>
      <c r="H28" s="32">
        <f>'4. Initial Inv''t Size'!K11</f>
        <v>0</v>
      </c>
      <c r="I28" s="32">
        <f>'4. Initial Inv''t Size'!L11</f>
        <v>0</v>
      </c>
    </row>
    <row r="29" spans="2:9">
      <c r="B29" s="25" t="s">
        <v>1774</v>
      </c>
      <c r="E29" s="32">
        <f ca="1">'2. 5-Yr Profit &amp; Loss'!E66</f>
        <v>0</v>
      </c>
      <c r="F29" s="32">
        <f ca="1">'2. 5-Yr Profit &amp; Loss'!F66</f>
        <v>0</v>
      </c>
      <c r="G29" s="32">
        <f ca="1">'2. 5-Yr Profit &amp; Loss'!G66</f>
        <v>0</v>
      </c>
      <c r="H29" s="32">
        <f ca="1">'2. 5-Yr Profit &amp; Loss'!H66</f>
        <v>0</v>
      </c>
      <c r="I29" s="32">
        <f ca="1">'2. 5-Yr Profit &amp; Loss'!I66</f>
        <v>0</v>
      </c>
    </row>
    <row r="30" spans="2:9">
      <c r="B30" s="26" t="s">
        <v>1716</v>
      </c>
      <c r="E30" s="869">
        <f ca="1">SUM(E25:E28)</f>
        <v>5817408.0156668779</v>
      </c>
      <c r="F30" s="869">
        <f ca="1">SUM(F25:F28)</f>
        <v>-432576.49347266526</v>
      </c>
      <c r="G30" s="869">
        <f ca="1">SUM(G25:G28)</f>
        <v>-417660.062663263</v>
      </c>
      <c r="H30" s="869">
        <f ca="1">SUM(H25:H28)</f>
        <v>-402743.63185386074</v>
      </c>
      <c r="I30" s="869">
        <f ca="1">SUM(I25:I28)</f>
        <v>-387827.20104445849</v>
      </c>
    </row>
    <row r="31" spans="2:9" ht="6" customHeight="1">
      <c r="B31" s="26"/>
      <c r="E31" s="866"/>
      <c r="F31" s="866"/>
      <c r="G31" s="866"/>
      <c r="H31" s="866"/>
      <c r="I31" s="866"/>
    </row>
    <row r="32" spans="2:9">
      <c r="B32" s="26" t="s">
        <v>1717</v>
      </c>
      <c r="E32" s="866">
        <f ca="1">SUM(E30,E22,E18)</f>
        <v>-470615.56067160994</v>
      </c>
      <c r="F32" s="866">
        <f ca="1">SUM(F30,F22,F18)</f>
        <v>622583.06069558556</v>
      </c>
      <c r="G32" s="866">
        <f ca="1">SUM(G30,G22,G18)</f>
        <v>379909.25247457344</v>
      </c>
      <c r="H32" s="866">
        <f ca="1">SUM(H30,H22,H18)</f>
        <v>3846685.2812393331</v>
      </c>
      <c r="I32" s="866">
        <f ca="1">SUM(I30,I22,I18)</f>
        <v>7188500.9860369219</v>
      </c>
    </row>
    <row r="33" spans="2:9">
      <c r="B33" s="26" t="s">
        <v>1718</v>
      </c>
      <c r="E33" s="867">
        <f>C34</f>
        <v>0</v>
      </c>
      <c r="F33" s="867">
        <f t="shared" ref="F33:I33" ca="1" si="1">E34</f>
        <v>-470615.56067160994</v>
      </c>
      <c r="G33" s="867">
        <f t="shared" ca="1" si="1"/>
        <v>151967.50002397562</v>
      </c>
      <c r="H33" s="867">
        <f t="shared" ca="1" si="1"/>
        <v>531876.75249854906</v>
      </c>
      <c r="I33" s="867">
        <f t="shared" ca="1" si="1"/>
        <v>4378562.033737882</v>
      </c>
    </row>
    <row r="34" spans="2:9" ht="13.5" thickBot="1">
      <c r="B34" s="26" t="s">
        <v>1779</v>
      </c>
      <c r="E34" s="870">
        <f ca="1">E32+E33</f>
        <v>-470615.56067160994</v>
      </c>
      <c r="F34" s="870">
        <f t="shared" ref="F34:I34" ca="1" si="2">F32+F33</f>
        <v>151967.50002397562</v>
      </c>
      <c r="G34" s="870">
        <f t="shared" ca="1" si="2"/>
        <v>531876.75249854906</v>
      </c>
      <c r="H34" s="870">
        <f t="shared" ca="1" si="2"/>
        <v>4378562.033737882</v>
      </c>
      <c r="I34" s="870">
        <f t="shared" ca="1" si="2"/>
        <v>11567063.019774804</v>
      </c>
    </row>
    <row r="35" spans="2:9" ht="13.5" thickTop="1"/>
    <row r="36" spans="2:9">
      <c r="B36" s="25" t="s">
        <v>1783</v>
      </c>
      <c r="E36" s="32">
        <f>'1.Key Assumptions'!$D19*'2. 5-Yr Profit &amp; Loss'!E14</f>
        <v>123710.03020668711</v>
      </c>
      <c r="F36" s="32">
        <f>'1.Key Assumptions'!$D19*'2. 5-Yr Profit &amp; Loss'!F14</f>
        <v>224662.58925897395</v>
      </c>
      <c r="G36" s="32">
        <f>'1.Key Assumptions'!$D19*'2. 5-Yr Profit &amp; Loss'!G14</f>
        <v>317672.90121218917</v>
      </c>
      <c r="H36" s="32">
        <f>'1.Key Assumptions'!$D19*'2. 5-Yr Profit &amp; Loss'!H14</f>
        <v>417104.5192916044</v>
      </c>
      <c r="I36" s="32">
        <f>'1.Key Assumptions'!$D19*'2. 5-Yr Profit &amp; Loss'!I14</f>
        <v>547658.23382987664</v>
      </c>
    </row>
    <row r="37" spans="2:9">
      <c r="B37" s="25" t="s">
        <v>1784</v>
      </c>
      <c r="E37" s="32">
        <f t="shared" ref="E37:I37" ca="1" si="3">E34-E36</f>
        <v>-594325.59087829711</v>
      </c>
      <c r="F37" s="32">
        <f t="shared" ca="1" si="3"/>
        <v>-72695.089234998333</v>
      </c>
      <c r="G37" s="32">
        <f t="shared" ca="1" si="3"/>
        <v>214203.85128635989</v>
      </c>
      <c r="H37" s="32">
        <f t="shared" ca="1" si="3"/>
        <v>3961457.5144462776</v>
      </c>
      <c r="I37" s="32">
        <f t="shared" ca="1" si="3"/>
        <v>11019404.785944927</v>
      </c>
    </row>
    <row r="39" spans="2:9">
      <c r="E39" s="122"/>
      <c r="F39" s="122"/>
      <c r="G39" s="122"/>
      <c r="H39" s="122"/>
      <c r="I39" s="122"/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92D050"/>
  </sheetPr>
  <dimension ref="B2:M35"/>
  <sheetViews>
    <sheetView workbookViewId="0">
      <selection activeCell="E4" sqref="E4"/>
    </sheetView>
  </sheetViews>
  <sheetFormatPr defaultRowHeight="12.75"/>
  <cols>
    <col min="1" max="1" width="3.5703125" style="25" customWidth="1"/>
    <col min="2" max="2" width="9.140625" style="25"/>
    <col min="3" max="3" width="37.5703125" style="25" customWidth="1"/>
    <col min="4" max="4" width="13" style="25" customWidth="1"/>
    <col min="5" max="5" width="20.85546875" style="25" customWidth="1"/>
    <col min="6" max="6" width="9.140625" style="25"/>
    <col min="7" max="7" width="24.7109375" style="25" customWidth="1"/>
    <col min="8" max="12" width="13.42578125" style="25" customWidth="1"/>
    <col min="13" max="16384" width="9.140625" style="25"/>
  </cols>
  <sheetData>
    <row r="2" spans="2:12" ht="19.5">
      <c r="B2" s="1" t="s">
        <v>991</v>
      </c>
    </row>
    <row r="3" spans="2:12">
      <c r="B3" s="3" t="s">
        <v>103</v>
      </c>
    </row>
    <row r="6" spans="2:12">
      <c r="B6" s="440"/>
      <c r="C6" s="440"/>
      <c r="D6" s="441"/>
      <c r="E6" s="417"/>
      <c r="G6" s="444" t="s">
        <v>1769</v>
      </c>
      <c r="H6" s="445"/>
      <c r="I6" s="445"/>
      <c r="J6" s="445"/>
      <c r="K6" s="445"/>
      <c r="L6" s="445"/>
    </row>
    <row r="7" spans="2:12">
      <c r="B7" s="31"/>
      <c r="C7" s="31"/>
      <c r="D7" s="31" t="s">
        <v>71</v>
      </c>
      <c r="E7" s="31"/>
      <c r="G7" s="106"/>
      <c r="H7" s="106" t="s">
        <v>29</v>
      </c>
      <c r="I7" s="106" t="s">
        <v>30</v>
      </c>
      <c r="J7" s="106" t="s">
        <v>31</v>
      </c>
      <c r="K7" s="106" t="s">
        <v>32</v>
      </c>
      <c r="L7" s="106" t="s">
        <v>33</v>
      </c>
    </row>
    <row r="8" spans="2:12">
      <c r="G8" s="106"/>
      <c r="H8" s="106">
        <v>41821</v>
      </c>
      <c r="I8" s="106">
        <v>42186</v>
      </c>
      <c r="J8" s="106">
        <v>42552</v>
      </c>
      <c r="K8" s="106">
        <v>42917</v>
      </c>
      <c r="L8" s="106">
        <v>43282</v>
      </c>
    </row>
    <row r="10" spans="2:12">
      <c r="B10" s="25" t="s">
        <v>932</v>
      </c>
      <c r="D10" s="122">
        <f ca="1">'App 6_Yr 1 Capex'!E21</f>
        <v>7243702</v>
      </c>
      <c r="E10" s="32" t="s">
        <v>1678</v>
      </c>
      <c r="G10" s="446" t="s">
        <v>978</v>
      </c>
      <c r="H10" s="449">
        <v>0</v>
      </c>
      <c r="I10" s="449">
        <f t="shared" ref="I10:L10" ca="1" si="0">H13</f>
        <v>2983286.1618804499</v>
      </c>
      <c r="J10" s="449">
        <f t="shared" ca="1" si="0"/>
        <v>2983286.1618804499</v>
      </c>
      <c r="K10" s="449">
        <f t="shared" ca="1" si="0"/>
        <v>2983286.1618804499</v>
      </c>
      <c r="L10" s="449">
        <f t="shared" ca="1" si="0"/>
        <v>2983286.1618804499</v>
      </c>
    </row>
    <row r="11" spans="2:12">
      <c r="B11" s="25" t="s">
        <v>143</v>
      </c>
      <c r="D11" s="122">
        <f ca="1">'App 11_Yr1 Op Exp'!D14</f>
        <v>984819.1422893618</v>
      </c>
      <c r="E11" s="32" t="s">
        <v>1652</v>
      </c>
      <c r="G11" s="446" t="s">
        <v>1770</v>
      </c>
      <c r="H11" s="449">
        <f ca="1">D19</f>
        <v>2983286.1618804499</v>
      </c>
      <c r="I11" s="449">
        <v>0</v>
      </c>
      <c r="J11" s="449">
        <v>0</v>
      </c>
      <c r="K11" s="449">
        <v>0</v>
      </c>
      <c r="L11" s="449">
        <v>0</v>
      </c>
    </row>
    <row r="12" spans="2:12">
      <c r="B12" s="25" t="s">
        <v>973</v>
      </c>
      <c r="D12" s="122">
        <f>'App 8_5Yr Headcount'!L22</f>
        <v>928372.5</v>
      </c>
      <c r="E12" s="32" t="s">
        <v>1652</v>
      </c>
      <c r="G12" s="446" t="s">
        <v>1771</v>
      </c>
      <c r="H12" s="449"/>
      <c r="I12" s="449">
        <v>0</v>
      </c>
      <c r="J12" s="449">
        <v>0</v>
      </c>
      <c r="K12" s="449">
        <v>0</v>
      </c>
      <c r="L12" s="449">
        <v>0</v>
      </c>
    </row>
    <row r="13" spans="2:12">
      <c r="B13" s="25" t="s">
        <v>969</v>
      </c>
      <c r="D13" s="122">
        <f>-SUM('App 2_12M Revenue'!F12:P12)</f>
        <v>-3509186.5922433566</v>
      </c>
      <c r="E13" s="32"/>
      <c r="G13" s="446" t="s">
        <v>981</v>
      </c>
      <c r="H13" s="450">
        <f t="shared" ref="H13:L13" ca="1" si="1">H10+H11+H12</f>
        <v>2983286.1618804499</v>
      </c>
      <c r="I13" s="450">
        <f t="shared" ca="1" si="1"/>
        <v>2983286.1618804499</v>
      </c>
      <c r="J13" s="450">
        <f t="shared" ca="1" si="1"/>
        <v>2983286.1618804499</v>
      </c>
      <c r="K13" s="450">
        <f t="shared" ca="1" si="1"/>
        <v>2983286.1618804499</v>
      </c>
      <c r="L13" s="450">
        <f t="shared" ca="1" si="1"/>
        <v>2983286.1618804499</v>
      </c>
    </row>
    <row r="14" spans="2:12">
      <c r="B14" s="25" t="s">
        <v>970</v>
      </c>
      <c r="D14" s="122">
        <f ca="1">(D11+D12)/12*2</f>
        <v>318865.27371489367</v>
      </c>
      <c r="E14" s="32"/>
    </row>
    <row r="15" spans="2:12" ht="13.5" thickBot="1">
      <c r="D15" s="443">
        <f ca="1">SUM(D10:D14)</f>
        <v>5966572.3237608997</v>
      </c>
      <c r="E15" s="290"/>
    </row>
    <row r="16" spans="2:12" s="26" customFormat="1" ht="13.5" thickTop="1">
      <c r="B16" s="25"/>
      <c r="C16" s="25"/>
      <c r="D16" s="25"/>
      <c r="E16" s="32"/>
    </row>
    <row r="17" spans="2:13" s="23" customFormat="1">
      <c r="B17" s="26" t="s">
        <v>971</v>
      </c>
      <c r="C17" s="26"/>
      <c r="D17" s="25"/>
      <c r="E17" s="33"/>
      <c r="G17" s="444" t="s">
        <v>977</v>
      </c>
      <c r="H17" s="445"/>
      <c r="I17" s="445"/>
      <c r="J17" s="445"/>
      <c r="K17" s="445"/>
      <c r="L17" s="445"/>
    </row>
    <row r="18" spans="2:13">
      <c r="B18" s="23" t="s">
        <v>1762</v>
      </c>
      <c r="C18" s="23"/>
      <c r="D18" s="864">
        <v>0.5</v>
      </c>
      <c r="E18" s="437"/>
      <c r="G18" s="106"/>
      <c r="H18" s="106" t="s">
        <v>29</v>
      </c>
      <c r="I18" s="106" t="s">
        <v>30</v>
      </c>
      <c r="J18" s="106" t="s">
        <v>31</v>
      </c>
      <c r="K18" s="106" t="s">
        <v>32</v>
      </c>
      <c r="L18" s="106" t="s">
        <v>33</v>
      </c>
    </row>
    <row r="19" spans="2:13">
      <c r="B19" s="25" t="s">
        <v>974</v>
      </c>
      <c r="D19" s="122">
        <f ca="1">D15*D18</f>
        <v>2983286.1618804499</v>
      </c>
      <c r="E19" s="32"/>
      <c r="G19" s="106"/>
      <c r="H19" s="106">
        <v>41821</v>
      </c>
      <c r="I19" s="106">
        <v>42186</v>
      </c>
      <c r="J19" s="106">
        <v>42552</v>
      </c>
      <c r="K19" s="106">
        <v>42917</v>
      </c>
      <c r="L19" s="106">
        <v>43282</v>
      </c>
    </row>
    <row r="20" spans="2:13">
      <c r="B20" s="25" t="s">
        <v>975</v>
      </c>
      <c r="D20" s="442">
        <f ca="1">D15-D19</f>
        <v>2983286.1618804499</v>
      </c>
      <c r="E20" s="32" t="s">
        <v>976</v>
      </c>
      <c r="G20" s="446" t="s">
        <v>978</v>
      </c>
      <c r="H20" s="449">
        <v>0</v>
      </c>
      <c r="I20" s="449">
        <f ca="1">H23</f>
        <v>2983286.1618804499</v>
      </c>
      <c r="J20" s="449">
        <f ca="1">I23</f>
        <v>2684957.5456924047</v>
      </c>
      <c r="K20" s="449">
        <f ca="1">J23</f>
        <v>2386628.9295043596</v>
      </c>
      <c r="L20" s="449">
        <f ca="1">K23</f>
        <v>2088300.3133163145</v>
      </c>
    </row>
    <row r="21" spans="2:13" ht="13.5" thickBot="1">
      <c r="D21" s="443">
        <f ca="1">SUM(D19:D20)</f>
        <v>5966572.3237608997</v>
      </c>
      <c r="E21" s="32"/>
      <c r="G21" s="446" t="s">
        <v>979</v>
      </c>
      <c r="H21" s="449">
        <f ca="1">D20</f>
        <v>2983286.1618804499</v>
      </c>
      <c r="I21" s="449"/>
      <c r="J21" s="449"/>
      <c r="K21" s="449"/>
      <c r="L21" s="449"/>
    </row>
    <row r="22" spans="2:13" ht="13.5" thickTop="1">
      <c r="E22" s="32"/>
      <c r="G22" s="446" t="s">
        <v>980</v>
      </c>
      <c r="H22" s="449">
        <v>0</v>
      </c>
      <c r="I22" s="449">
        <f t="shared" ref="I22:L22" ca="1" si="2">-$H$34</f>
        <v>-298328.61618804501</v>
      </c>
      <c r="J22" s="449">
        <f t="shared" ca="1" si="2"/>
        <v>-298328.61618804501</v>
      </c>
      <c r="K22" s="449">
        <f t="shared" ca="1" si="2"/>
        <v>-298328.61618804501</v>
      </c>
      <c r="L22" s="449">
        <f t="shared" ca="1" si="2"/>
        <v>-298328.61618804501</v>
      </c>
    </row>
    <row r="23" spans="2:13">
      <c r="E23" s="32"/>
      <c r="G23" s="446" t="s">
        <v>981</v>
      </c>
      <c r="H23" s="450">
        <f t="shared" ref="H23:L23" ca="1" si="3">SUM(H20:H22)</f>
        <v>2983286.1618804499</v>
      </c>
      <c r="I23" s="450">
        <f t="shared" ca="1" si="3"/>
        <v>2684957.5456924047</v>
      </c>
      <c r="J23" s="450">
        <f t="shared" ca="1" si="3"/>
        <v>2386628.9295043596</v>
      </c>
      <c r="K23" s="450">
        <f t="shared" ca="1" si="3"/>
        <v>2088300.3133163145</v>
      </c>
      <c r="L23" s="450">
        <f t="shared" ca="1" si="3"/>
        <v>1789971.6971282694</v>
      </c>
    </row>
    <row r="24" spans="2:13">
      <c r="E24" s="32"/>
      <c r="G24" s="446"/>
      <c r="H24" s="446"/>
      <c r="I24" s="446"/>
      <c r="J24" s="446"/>
      <c r="K24" s="446"/>
      <c r="L24" s="446"/>
    </row>
    <row r="25" spans="2:13">
      <c r="E25" s="32"/>
      <c r="G25" s="446" t="s">
        <v>982</v>
      </c>
      <c r="H25" s="447">
        <v>0.05</v>
      </c>
      <c r="I25" s="447">
        <v>0.05</v>
      </c>
      <c r="J25" s="447">
        <v>0.05</v>
      </c>
      <c r="K25" s="447">
        <v>0.05</v>
      </c>
      <c r="L25" s="447">
        <v>0.05</v>
      </c>
      <c r="M25" s="25" t="s">
        <v>992</v>
      </c>
    </row>
    <row r="26" spans="2:13">
      <c r="G26" s="446"/>
      <c r="H26" s="451"/>
      <c r="I26" s="451"/>
      <c r="J26" s="451"/>
      <c r="K26" s="451"/>
      <c r="L26" s="451"/>
    </row>
    <row r="27" spans="2:13" ht="13.5" thickBot="1">
      <c r="G27" s="446" t="s">
        <v>983</v>
      </c>
      <c r="H27" s="452">
        <f ca="1">H23*H25</f>
        <v>149164.3080940225</v>
      </c>
      <c r="I27" s="452">
        <f t="shared" ref="I27:L27" ca="1" si="4">I23*I25</f>
        <v>134247.87728462025</v>
      </c>
      <c r="J27" s="452">
        <f t="shared" ca="1" si="4"/>
        <v>119331.44647521799</v>
      </c>
      <c r="K27" s="452">
        <f t="shared" ca="1" si="4"/>
        <v>104415.01566581574</v>
      </c>
      <c r="L27" s="452">
        <f t="shared" ca="1" si="4"/>
        <v>89498.584856413479</v>
      </c>
    </row>
    <row r="28" spans="2:13" ht="13.5" thickTop="1">
      <c r="G28" s="23"/>
      <c r="H28" s="23"/>
      <c r="I28" s="23"/>
      <c r="J28" s="23"/>
      <c r="K28" s="23"/>
      <c r="L28" s="23"/>
    </row>
    <row r="31" spans="2:13">
      <c r="G31" s="25" t="s">
        <v>984</v>
      </c>
      <c r="H31" s="122">
        <f ca="1">D20</f>
        <v>2983286.1618804499</v>
      </c>
    </row>
    <row r="32" spans="2:13">
      <c r="G32" s="25" t="s">
        <v>985</v>
      </c>
      <c r="H32" s="25">
        <v>10</v>
      </c>
    </row>
    <row r="33" spans="7:8">
      <c r="G33" s="25" t="s">
        <v>986</v>
      </c>
      <c r="H33" s="115">
        <v>0.05</v>
      </c>
    </row>
    <row r="34" spans="7:8">
      <c r="G34" s="25" t="s">
        <v>987</v>
      </c>
      <c r="H34" s="448">
        <f ca="1">H31/H32</f>
        <v>298328.61618804501</v>
      </c>
    </row>
    <row r="35" spans="7:8">
      <c r="H35" s="12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70C0"/>
  </sheetPr>
  <dimension ref="B2:P48"/>
  <sheetViews>
    <sheetView workbookViewId="0">
      <selection activeCell="J21" sqref="J21"/>
    </sheetView>
  </sheetViews>
  <sheetFormatPr defaultRowHeight="12.75"/>
  <cols>
    <col min="1" max="1" width="5.140625" style="25" customWidth="1"/>
    <col min="2" max="2" width="7.7109375" style="25" customWidth="1"/>
    <col min="3" max="3" width="27.28515625" style="25" customWidth="1"/>
    <col min="4" max="4" width="9.42578125" style="111" customWidth="1"/>
    <col min="5" max="9" width="11.140625" style="25" customWidth="1"/>
    <col min="10" max="10" width="47.140625" style="120" customWidth="1"/>
    <col min="11" max="11" width="9.140625" style="25"/>
    <col min="12" max="12" width="10.28515625" style="25" bestFit="1" customWidth="1"/>
    <col min="13" max="16384" width="9.140625" style="25"/>
  </cols>
  <sheetData>
    <row r="2" spans="2:16" ht="19.5">
      <c r="B2" s="1" t="s">
        <v>1663</v>
      </c>
      <c r="C2" s="2"/>
      <c r="E2" s="2"/>
    </row>
    <row r="3" spans="2:16">
      <c r="B3" s="24" t="s">
        <v>103</v>
      </c>
      <c r="C3" s="2"/>
      <c r="E3" s="2"/>
    </row>
    <row r="5" spans="2:16">
      <c r="B5" s="27" t="s">
        <v>15</v>
      </c>
      <c r="C5" s="27"/>
      <c r="D5" s="117"/>
      <c r="E5" s="27"/>
      <c r="F5" s="27"/>
      <c r="G5" s="27"/>
      <c r="H5" s="27" t="s">
        <v>24</v>
      </c>
      <c r="I5" s="27"/>
    </row>
    <row r="6" spans="2:16">
      <c r="B6" s="29"/>
      <c r="C6" s="29"/>
      <c r="D6" s="118"/>
      <c r="E6" s="106" t="s">
        <v>29</v>
      </c>
      <c r="F6" s="106" t="s">
        <v>30</v>
      </c>
      <c r="G6" s="106" t="s">
        <v>31</v>
      </c>
      <c r="H6" s="106" t="s">
        <v>32</v>
      </c>
      <c r="I6" s="106" t="s">
        <v>33</v>
      </c>
      <c r="K6" s="652"/>
      <c r="L6" s="904"/>
      <c r="M6" s="904"/>
      <c r="N6" s="904"/>
      <c r="O6" s="904"/>
      <c r="P6" s="904"/>
    </row>
    <row r="7" spans="2:16">
      <c r="B7" s="29"/>
      <c r="C7" s="29"/>
      <c r="D7" s="118"/>
      <c r="E7" s="106">
        <v>41821</v>
      </c>
      <c r="F7" s="106">
        <v>42186</v>
      </c>
      <c r="G7" s="106">
        <v>42552</v>
      </c>
      <c r="H7" s="106">
        <v>42917</v>
      </c>
      <c r="I7" s="106">
        <v>43282</v>
      </c>
      <c r="K7" s="338"/>
      <c r="L7" s="862"/>
      <c r="M7" s="862"/>
      <c r="N7" s="862"/>
      <c r="O7" s="862"/>
      <c r="P7" s="862"/>
    </row>
    <row r="8" spans="2:16" ht="8.25" customHeight="1">
      <c r="L8" s="862"/>
      <c r="M8" s="862"/>
      <c r="N8" s="862"/>
      <c r="O8" s="862"/>
      <c r="P8" s="862"/>
    </row>
    <row r="9" spans="2:16">
      <c r="B9" s="25" t="s">
        <v>19</v>
      </c>
      <c r="E9" s="32">
        <f>'App 2_12M Revenue'!R8</f>
        <v>554950.05545384227</v>
      </c>
      <c r="F9" s="32">
        <f>F28*F43</f>
        <v>840749.33401257102</v>
      </c>
      <c r="G9" s="32">
        <f t="shared" ref="G9:I9" si="0">G28*G43</f>
        <v>1188819.5582937752</v>
      </c>
      <c r="H9" s="32">
        <f t="shared" si="0"/>
        <v>1560920.080039727</v>
      </c>
      <c r="I9" s="32">
        <f t="shared" si="0"/>
        <v>2049488.0650921618</v>
      </c>
      <c r="L9" s="863"/>
      <c r="M9" s="863"/>
      <c r="N9" s="863"/>
      <c r="O9" s="863"/>
      <c r="P9" s="863"/>
    </row>
    <row r="10" spans="2:16">
      <c r="B10" s="25" t="s">
        <v>16</v>
      </c>
      <c r="E10" s="32">
        <f>'App 2_12M Revenue'!R9</f>
        <v>3213328.5598861417</v>
      </c>
      <c r="F10" s="32">
        <f>F29*F44</f>
        <v>6357868.5080612237</v>
      </c>
      <c r="G10" s="32">
        <f t="shared" ref="G10:I10" si="1">G29*G44</f>
        <v>8990026.070398571</v>
      </c>
      <c r="H10" s="32">
        <f t="shared" si="1"/>
        <v>11803904.230433324</v>
      </c>
      <c r="I10" s="32">
        <f t="shared" si="1"/>
        <v>15498526.254558954</v>
      </c>
      <c r="K10" s="633"/>
      <c r="L10" s="254"/>
      <c r="M10" s="254"/>
      <c r="N10" s="254"/>
      <c r="O10" s="254"/>
      <c r="P10" s="254"/>
    </row>
    <row r="11" spans="2:16">
      <c r="B11" s="25" t="s">
        <v>17</v>
      </c>
      <c r="E11" s="32">
        <f>'App 2_12M Revenue'!R10</f>
        <v>1180122.5929275001</v>
      </c>
      <c r="F11" s="32">
        <f>F30*F45</f>
        <v>1787885.7282851627</v>
      </c>
      <c r="G11" s="32">
        <f t="shared" ref="G11:I11" si="2">G30*G45</f>
        <v>2528070.4197952203</v>
      </c>
      <c r="H11" s="32">
        <f t="shared" si="2"/>
        <v>3319356.4611911238</v>
      </c>
      <c r="I11" s="32">
        <f t="shared" si="2"/>
        <v>4358315.0335439462</v>
      </c>
      <c r="K11" s="718"/>
      <c r="L11" s="456"/>
      <c r="M11" s="456"/>
      <c r="N11" s="456"/>
      <c r="O11" s="456"/>
      <c r="P11" s="456"/>
    </row>
    <row r="12" spans="2:16" ht="7.5" customHeight="1">
      <c r="E12" s="34"/>
      <c r="F12" s="34"/>
      <c r="G12" s="34"/>
      <c r="H12" s="34"/>
      <c r="I12" s="34"/>
      <c r="K12" s="718"/>
      <c r="L12" s="456"/>
      <c r="M12" s="456"/>
      <c r="N12" s="456"/>
      <c r="O12" s="456"/>
      <c r="P12" s="456"/>
    </row>
    <row r="13" spans="2:16" s="26" customFormat="1">
      <c r="D13" s="119"/>
      <c r="E13" s="33">
        <f>SUM(E9:E11)</f>
        <v>4948401.2082674839</v>
      </c>
      <c r="F13" s="33">
        <f>SUM(F9:F11)</f>
        <v>8986503.5703589581</v>
      </c>
      <c r="G13" s="33">
        <f>SUM(G9:G11)</f>
        <v>12706916.048487566</v>
      </c>
      <c r="H13" s="33">
        <f>SUM(H9:H11)</f>
        <v>16684180.771664174</v>
      </c>
      <c r="I13" s="33">
        <f>SUM(I9:I11)</f>
        <v>21906329.353195064</v>
      </c>
      <c r="J13" s="121" t="s">
        <v>121</v>
      </c>
      <c r="K13" s="718"/>
      <c r="L13" s="456"/>
      <c r="M13" s="456"/>
      <c r="N13" s="456"/>
      <c r="O13" s="456"/>
      <c r="P13" s="456"/>
    </row>
    <row r="14" spans="2:16" s="111" customFormat="1">
      <c r="B14" s="111" t="s">
        <v>120</v>
      </c>
      <c r="E14" s="112"/>
      <c r="F14" s="113">
        <f>F13/E13-1</f>
        <v>0.81604182687225557</v>
      </c>
      <c r="G14" s="113">
        <f t="shared" ref="G14:I14" si="3">G13/F13-1</f>
        <v>0.41399999999999992</v>
      </c>
      <c r="H14" s="113">
        <f t="shared" si="3"/>
        <v>0.31299999999999994</v>
      </c>
      <c r="I14" s="113">
        <f t="shared" si="3"/>
        <v>0.31300000000000017</v>
      </c>
      <c r="J14" s="120"/>
      <c r="K14" s="718"/>
      <c r="L14" s="456"/>
      <c r="M14" s="456"/>
      <c r="N14" s="456"/>
      <c r="O14" s="456"/>
      <c r="P14" s="456"/>
    </row>
    <row r="15" spans="2:16" s="111" customFormat="1">
      <c r="E15" s="112"/>
      <c r="F15" s="113"/>
      <c r="G15" s="113"/>
      <c r="H15" s="113"/>
      <c r="I15" s="113"/>
      <c r="J15" s="120"/>
      <c r="K15" s="718"/>
      <c r="L15" s="353"/>
      <c r="M15" s="353"/>
      <c r="N15" s="353"/>
      <c r="O15" s="353"/>
      <c r="P15" s="353"/>
    </row>
    <row r="16" spans="2:16" s="111" customFormat="1">
      <c r="B16" s="27" t="s">
        <v>351</v>
      </c>
      <c r="C16" s="27"/>
      <c r="D16" s="117"/>
      <c r="E16" s="27"/>
      <c r="F16" s="27"/>
      <c r="G16" s="27"/>
      <c r="H16" s="27"/>
      <c r="I16" s="253" t="s">
        <v>24</v>
      </c>
      <c r="J16" s="120"/>
      <c r="K16" s="718"/>
      <c r="L16" s="456"/>
      <c r="M16" s="456"/>
      <c r="N16" s="456"/>
      <c r="O16" s="456"/>
      <c r="P16" s="456"/>
    </row>
    <row r="17" spans="2:16" s="111" customFormat="1">
      <c r="B17" s="29"/>
      <c r="C17" s="29"/>
      <c r="D17" s="118"/>
      <c r="E17" s="106" t="s">
        <v>29</v>
      </c>
      <c r="F17" s="106" t="s">
        <v>30</v>
      </c>
      <c r="G17" s="106" t="s">
        <v>31</v>
      </c>
      <c r="H17" s="106" t="s">
        <v>32</v>
      </c>
      <c r="I17" s="106" t="s">
        <v>33</v>
      </c>
      <c r="J17" s="120"/>
      <c r="K17" s="718"/>
      <c r="L17" s="456"/>
      <c r="M17" s="456"/>
      <c r="N17" s="456"/>
      <c r="O17" s="456"/>
      <c r="P17" s="456"/>
    </row>
    <row r="18" spans="2:16" s="111" customFormat="1">
      <c r="B18" s="29"/>
      <c r="C18" s="29"/>
      <c r="D18" s="118"/>
      <c r="E18" s="106">
        <v>41821</v>
      </c>
      <c r="F18" s="106">
        <v>42186</v>
      </c>
      <c r="G18" s="106">
        <v>42552</v>
      </c>
      <c r="H18" s="106">
        <v>42917</v>
      </c>
      <c r="I18" s="106">
        <v>43282</v>
      </c>
      <c r="J18" s="120"/>
      <c r="K18" s="718"/>
      <c r="L18" s="456"/>
      <c r="M18" s="456"/>
      <c r="N18" s="456"/>
      <c r="O18" s="456"/>
      <c r="P18" s="456"/>
    </row>
    <row r="19" spans="2:16" s="111" customFormat="1">
      <c r="B19" s="25"/>
      <c r="C19" s="25"/>
      <c r="E19" s="25"/>
      <c r="F19" s="25"/>
      <c r="G19" s="25"/>
      <c r="H19" s="25"/>
      <c r="I19" s="25"/>
      <c r="J19" s="120"/>
      <c r="K19" s="718"/>
      <c r="L19" s="353"/>
      <c r="M19" s="353"/>
      <c r="N19" s="353"/>
      <c r="O19" s="353"/>
      <c r="P19" s="353"/>
    </row>
    <row r="20" spans="2:16" s="111" customFormat="1">
      <c r="B20" s="25" t="s">
        <v>352</v>
      </c>
      <c r="C20" s="25"/>
      <c r="E20" s="123">
        <v>0.05</v>
      </c>
      <c r="F20" s="123">
        <f>E20+0.05</f>
        <v>0.1</v>
      </c>
      <c r="G20" s="123">
        <f t="shared" ref="G20:I20" si="4">F20+0.05</f>
        <v>0.15000000000000002</v>
      </c>
      <c r="H20" s="123">
        <f t="shared" si="4"/>
        <v>0.2</v>
      </c>
      <c r="I20" s="123">
        <f t="shared" si="4"/>
        <v>0.25</v>
      </c>
      <c r="J20" s="120"/>
      <c r="K20" s="718"/>
      <c r="L20" s="48"/>
      <c r="M20" s="48"/>
      <c r="N20" s="48"/>
      <c r="O20" s="48"/>
      <c r="P20" s="48"/>
    </row>
    <row r="21" spans="2:16" s="111" customFormat="1">
      <c r="B21" s="25" t="s">
        <v>353</v>
      </c>
      <c r="C21" s="25"/>
      <c r="E21" s="32">
        <f>E28*E20</f>
        <v>4177.0434281471998</v>
      </c>
      <c r="F21" s="32">
        <f t="shared" ref="F21:I21" si="5">F28*F20</f>
        <v>12531.1302844416</v>
      </c>
      <c r="G21" s="32">
        <f t="shared" si="5"/>
        <v>26315.373597327361</v>
      </c>
      <c r="H21" s="32">
        <f t="shared" si="5"/>
        <v>45613.314235367427</v>
      </c>
      <c r="I21" s="32">
        <f t="shared" si="5"/>
        <v>74121.635632472069</v>
      </c>
      <c r="J21" s="120"/>
      <c r="K21" s="718"/>
      <c r="L21" s="48"/>
      <c r="M21" s="48"/>
      <c r="N21" s="48"/>
      <c r="O21" s="48"/>
      <c r="P21" s="48"/>
    </row>
    <row r="22" spans="2:16" s="111" customFormat="1">
      <c r="B22" s="25" t="s">
        <v>354</v>
      </c>
      <c r="C22" s="25"/>
      <c r="E22" s="254">
        <f>E21*E46</f>
        <v>247420.06041337419</v>
      </c>
      <c r="F22" s="254">
        <f t="shared" ref="F22:I22" si="6">F21*F46</f>
        <v>898650.35703589581</v>
      </c>
      <c r="G22" s="254">
        <f t="shared" si="6"/>
        <v>1906037.4072731351</v>
      </c>
      <c r="H22" s="254">
        <f t="shared" si="6"/>
        <v>3336836.1543328352</v>
      </c>
      <c r="I22" s="254">
        <f t="shared" si="6"/>
        <v>5476582.3382987669</v>
      </c>
      <c r="J22" s="120"/>
      <c r="K22" s="718"/>
      <c r="L22" s="48"/>
      <c r="M22" s="48"/>
      <c r="N22" s="48"/>
      <c r="O22" s="48"/>
      <c r="P22" s="48"/>
    </row>
    <row r="23" spans="2:16">
      <c r="E23" s="107"/>
    </row>
    <row r="24" spans="2:16">
      <c r="B24" s="27" t="s">
        <v>100</v>
      </c>
      <c r="C24" s="27"/>
      <c r="D24" s="117"/>
      <c r="E24" s="27"/>
      <c r="F24" s="27"/>
      <c r="G24" s="27"/>
      <c r="H24" s="27"/>
      <c r="I24" s="27"/>
    </row>
    <row r="25" spans="2:16">
      <c r="B25" s="29"/>
      <c r="C25" s="29"/>
      <c r="D25" s="118" t="s">
        <v>101</v>
      </c>
      <c r="E25" s="106" t="s">
        <v>29</v>
      </c>
      <c r="F25" s="106" t="s">
        <v>30</v>
      </c>
      <c r="G25" s="106" t="s">
        <v>31</v>
      </c>
      <c r="H25" s="106" t="s">
        <v>32</v>
      </c>
      <c r="I25" s="106" t="s">
        <v>33</v>
      </c>
    </row>
    <row r="26" spans="2:16">
      <c r="B26" s="29"/>
      <c r="C26" s="29"/>
      <c r="D26" s="118"/>
      <c r="E26" s="106">
        <v>41821</v>
      </c>
      <c r="F26" s="106">
        <v>42186</v>
      </c>
      <c r="G26" s="106">
        <v>42552</v>
      </c>
      <c r="H26" s="106">
        <v>42917</v>
      </c>
      <c r="I26" s="106">
        <v>43282</v>
      </c>
    </row>
    <row r="28" spans="2:16">
      <c r="B28" s="25" t="s">
        <v>19</v>
      </c>
      <c r="D28" s="111" t="s">
        <v>116</v>
      </c>
      <c r="E28" s="108">
        <f>'App 2_12M Revenue'!R43</f>
        <v>83540.868562944001</v>
      </c>
      <c r="F28" s="32">
        <f>E28*(1+F40)</f>
        <v>125311.302844416</v>
      </c>
      <c r="G28" s="32">
        <f>F28*(1+G40)</f>
        <v>175435.8239821824</v>
      </c>
      <c r="H28" s="32">
        <f>G28*(1+H40)</f>
        <v>228066.57117683711</v>
      </c>
      <c r="I28" s="32">
        <f>H28*(1+I40)</f>
        <v>296486.54252988828</v>
      </c>
    </row>
    <row r="29" spans="2:16">
      <c r="B29" s="25" t="s">
        <v>16</v>
      </c>
      <c r="D29" s="111" t="s">
        <v>115</v>
      </c>
      <c r="E29" s="108">
        <f>'App 2_12M Revenue'!R96</f>
        <v>575701.97701718006</v>
      </c>
      <c r="F29" s="32">
        <f>F28*F41</f>
        <v>1127801.7255997439</v>
      </c>
      <c r="G29" s="32">
        <f t="shared" ref="G29:I29" si="7">G28*G41</f>
        <v>1578922.4158396416</v>
      </c>
      <c r="H29" s="32">
        <f t="shared" si="7"/>
        <v>2052599.1405915341</v>
      </c>
      <c r="I29" s="32">
        <f t="shared" si="7"/>
        <v>2668378.8827689947</v>
      </c>
    </row>
    <row r="30" spans="2:16">
      <c r="B30" s="25" t="s">
        <v>17</v>
      </c>
      <c r="D30" s="111" t="s">
        <v>115</v>
      </c>
      <c r="E30" s="108">
        <f>'App 2_12M Revenue'!R135</f>
        <v>86804.75269416334</v>
      </c>
      <c r="F30" s="32">
        <f>F28*$E$42</f>
        <v>130207.12904124502</v>
      </c>
      <c r="G30" s="32">
        <f>G28*$E$42</f>
        <v>182289.98065774303</v>
      </c>
      <c r="H30" s="32">
        <f>H28*$E$42</f>
        <v>236976.97485506593</v>
      </c>
      <c r="I30" s="32">
        <f>I28*$E$42</f>
        <v>308070.06731158576</v>
      </c>
    </row>
    <row r="31" spans="2:16">
      <c r="E31" s="109"/>
      <c r="F31" s="109"/>
      <c r="G31" s="109"/>
      <c r="H31" s="109"/>
      <c r="I31" s="109"/>
    </row>
    <row r="32" spans="2:16">
      <c r="E32" s="110"/>
      <c r="F32" s="110"/>
      <c r="G32" s="110"/>
      <c r="H32" s="110"/>
      <c r="I32" s="110"/>
    </row>
    <row r="33" spans="2:10">
      <c r="B33" s="27" t="s">
        <v>102</v>
      </c>
      <c r="C33" s="27"/>
      <c r="D33" s="117"/>
      <c r="E33" s="27"/>
      <c r="F33" s="27"/>
      <c r="G33" s="27"/>
      <c r="H33" s="27"/>
      <c r="I33" s="27"/>
    </row>
    <row r="34" spans="2:10">
      <c r="B34" s="29"/>
      <c r="C34" s="29"/>
      <c r="D34" s="118" t="s">
        <v>101</v>
      </c>
      <c r="E34" s="106" t="s">
        <v>29</v>
      </c>
      <c r="F34" s="106" t="s">
        <v>30</v>
      </c>
      <c r="G34" s="106" t="s">
        <v>31</v>
      </c>
      <c r="H34" s="106" t="s">
        <v>32</v>
      </c>
      <c r="I34" s="106" t="s">
        <v>33</v>
      </c>
    </row>
    <row r="35" spans="2:10">
      <c r="B35" s="29"/>
      <c r="C35" s="29"/>
      <c r="D35" s="118"/>
      <c r="E35" s="106">
        <v>41821</v>
      </c>
      <c r="F35" s="106">
        <v>42186</v>
      </c>
      <c r="G35" s="106">
        <v>42552</v>
      </c>
      <c r="H35" s="106">
        <v>42917</v>
      </c>
      <c r="I35" s="106">
        <v>43282</v>
      </c>
    </row>
    <row r="37" spans="2:10">
      <c r="B37" s="25" t="s">
        <v>79</v>
      </c>
      <c r="D37" s="111" t="s">
        <v>116</v>
      </c>
      <c r="E37" s="32">
        <f>'App 2_12M Revenue'!R32</f>
        <v>83540.868562944001</v>
      </c>
      <c r="F37" s="32">
        <f>E37*(1+F40)</f>
        <v>125311.302844416</v>
      </c>
      <c r="G37" s="32">
        <f t="shared" ref="G37:I37" si="8">F37*(1+G40)</f>
        <v>175435.8239821824</v>
      </c>
      <c r="H37" s="32">
        <f t="shared" si="8"/>
        <v>228066.57117683711</v>
      </c>
      <c r="I37" s="32">
        <f t="shared" si="8"/>
        <v>296486.54252988828</v>
      </c>
      <c r="J37" s="121" t="s">
        <v>119</v>
      </c>
    </row>
    <row r="38" spans="2:10">
      <c r="B38" s="25" t="s">
        <v>152</v>
      </c>
      <c r="D38" s="111" t="s">
        <v>153</v>
      </c>
      <c r="E38" s="32">
        <f>52*6-12</f>
        <v>300</v>
      </c>
      <c r="F38" s="32">
        <f t="shared" ref="F38:I38" si="9">52*6-12</f>
        <v>300</v>
      </c>
      <c r="G38" s="32">
        <f t="shared" si="9"/>
        <v>300</v>
      </c>
      <c r="H38" s="32">
        <f t="shared" si="9"/>
        <v>300</v>
      </c>
      <c r="I38" s="32">
        <f t="shared" si="9"/>
        <v>300</v>
      </c>
      <c r="J38" s="121"/>
    </row>
    <row r="39" spans="2:10">
      <c r="B39" s="25" t="s">
        <v>137</v>
      </c>
      <c r="D39" s="111" t="s">
        <v>116</v>
      </c>
      <c r="E39" s="32">
        <f>E37/E38</f>
        <v>278.46956187647999</v>
      </c>
      <c r="F39" s="32">
        <f t="shared" ref="F39:I39" si="10">F37/F38</f>
        <v>417.70434281472001</v>
      </c>
      <c r="G39" s="32">
        <f t="shared" si="10"/>
        <v>584.78607994060803</v>
      </c>
      <c r="H39" s="32">
        <f t="shared" si="10"/>
        <v>760.22190392279037</v>
      </c>
      <c r="I39" s="32">
        <f t="shared" si="10"/>
        <v>988.28847509962759</v>
      </c>
      <c r="J39" s="121"/>
    </row>
    <row r="40" spans="2:10" s="111" customFormat="1">
      <c r="B40" s="111" t="s">
        <v>113</v>
      </c>
      <c r="D40" s="111" t="s">
        <v>114</v>
      </c>
      <c r="E40" s="112"/>
      <c r="F40" s="113">
        <v>0.5</v>
      </c>
      <c r="G40" s="113">
        <f>F40-0.1</f>
        <v>0.4</v>
      </c>
      <c r="H40" s="113">
        <v>0.3</v>
      </c>
      <c r="I40" s="113">
        <v>0.3</v>
      </c>
      <c r="J40" s="120"/>
    </row>
    <row r="41" spans="2:10">
      <c r="B41" s="25" t="s">
        <v>117</v>
      </c>
      <c r="D41" s="111" t="s">
        <v>115</v>
      </c>
      <c r="E41" s="72">
        <f>'App 2_12M Revenue'!F37</f>
        <v>7.1134973133231219</v>
      </c>
      <c r="F41" s="114">
        <v>9</v>
      </c>
      <c r="G41" s="114">
        <f>F41</f>
        <v>9</v>
      </c>
      <c r="H41" s="114">
        <f t="shared" ref="H41:I41" si="11">G41</f>
        <v>9</v>
      </c>
      <c r="I41" s="114">
        <f t="shared" si="11"/>
        <v>9</v>
      </c>
    </row>
    <row r="42" spans="2:10">
      <c r="B42" s="25" t="s">
        <v>118</v>
      </c>
      <c r="D42" s="111" t="s">
        <v>115</v>
      </c>
      <c r="E42" s="72">
        <f>E30/E28</f>
        <v>1.0390693104747908</v>
      </c>
      <c r="F42" s="116">
        <v>1.5</v>
      </c>
      <c r="G42" s="116">
        <f t="shared" ref="G42:I42" si="12">F42</f>
        <v>1.5</v>
      </c>
      <c r="H42" s="116">
        <f t="shared" si="12"/>
        <v>1.5</v>
      </c>
      <c r="I42" s="116">
        <f t="shared" si="12"/>
        <v>1.5</v>
      </c>
    </row>
    <row r="43" spans="2:10">
      <c r="B43" s="25" t="s">
        <v>129</v>
      </c>
      <c r="D43" s="111" t="s">
        <v>71</v>
      </c>
      <c r="E43" s="72">
        <f>E9/E28</f>
        <v>6.6428571428571423</v>
      </c>
      <c r="F43" s="72">
        <f>E43*(1+F$48)</f>
        <v>6.7092857142857136</v>
      </c>
      <c r="G43" s="72">
        <f t="shared" ref="G43:I43" si="13">F43*(1+G$48)</f>
        <v>6.7763785714285705</v>
      </c>
      <c r="H43" s="72">
        <f t="shared" si="13"/>
        <v>6.8441423571428563</v>
      </c>
      <c r="I43" s="72">
        <f t="shared" si="13"/>
        <v>6.9125837807142849</v>
      </c>
    </row>
    <row r="44" spans="2:10">
      <c r="B44" s="25" t="s">
        <v>130</v>
      </c>
      <c r="D44" s="111" t="s">
        <v>71</v>
      </c>
      <c r="E44" s="72">
        <f>E10/E29</f>
        <v>5.5815833333333327</v>
      </c>
      <c r="F44" s="72">
        <f t="shared" ref="F44:I45" si="14">E44*(1+F$48)</f>
        <v>5.6373991666666656</v>
      </c>
      <c r="G44" s="72">
        <f t="shared" si="14"/>
        <v>5.6937731583333324</v>
      </c>
      <c r="H44" s="72">
        <f t="shared" si="14"/>
        <v>5.7507108899166655</v>
      </c>
      <c r="I44" s="72">
        <f t="shared" si="14"/>
        <v>5.8082179988158318</v>
      </c>
    </row>
    <row r="45" spans="2:10">
      <c r="B45" s="25" t="s">
        <v>131</v>
      </c>
      <c r="D45" s="111" t="s">
        <v>71</v>
      </c>
      <c r="E45" s="72">
        <f>E11/E30</f>
        <v>13.595138011456489</v>
      </c>
      <c r="F45" s="72">
        <f t="shared" si="14"/>
        <v>13.731089391571054</v>
      </c>
      <c r="G45" s="72">
        <f t="shared" si="14"/>
        <v>13.868400285486764</v>
      </c>
      <c r="H45" s="72">
        <f t="shared" si="14"/>
        <v>14.007084288341632</v>
      </c>
      <c r="I45" s="72">
        <f t="shared" si="14"/>
        <v>14.147155131225048</v>
      </c>
    </row>
    <row r="46" spans="2:10">
      <c r="B46" s="25" t="s">
        <v>355</v>
      </c>
      <c r="D46" s="111" t="s">
        <v>71</v>
      </c>
      <c r="E46" s="107">
        <f>E13/E28</f>
        <v>59.233298544641094</v>
      </c>
      <c r="F46" s="107">
        <f t="shared" ref="F46:I46" si="15">F13/F28</f>
        <v>71.713431800453151</v>
      </c>
      <c r="G46" s="107">
        <f t="shared" si="15"/>
        <v>72.430566118457691</v>
      </c>
      <c r="H46" s="107">
        <f t="shared" si="15"/>
        <v>73.154871779642264</v>
      </c>
      <c r="I46" s="107">
        <f t="shared" si="15"/>
        <v>73.886420497438692</v>
      </c>
    </row>
    <row r="47" spans="2:10">
      <c r="E47" s="107"/>
      <c r="F47" s="107"/>
      <c r="G47" s="107"/>
      <c r="H47" s="107"/>
      <c r="I47" s="107"/>
    </row>
    <row r="48" spans="2:10">
      <c r="B48" s="25" t="s">
        <v>122</v>
      </c>
      <c r="E48" s="115"/>
      <c r="F48" s="115">
        <v>0.01</v>
      </c>
      <c r="G48" s="115">
        <f t="shared" ref="G48:I48" si="16">F48</f>
        <v>0.01</v>
      </c>
      <c r="H48" s="115">
        <f t="shared" si="16"/>
        <v>0.01</v>
      </c>
      <c r="I48" s="115">
        <f t="shared" si="16"/>
        <v>0.01</v>
      </c>
      <c r="J48" s="120" t="s">
        <v>123</v>
      </c>
    </row>
  </sheetData>
  <mergeCells count="1">
    <mergeCell ref="L6:P6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0070C0"/>
  </sheetPr>
  <dimension ref="B2:S135"/>
  <sheetViews>
    <sheetView zoomScale="85" zoomScaleNormal="85" workbookViewId="0">
      <selection activeCell="G33" sqref="G33"/>
    </sheetView>
  </sheetViews>
  <sheetFormatPr defaultRowHeight="12.75"/>
  <cols>
    <col min="1" max="1" width="5.140625" style="25" customWidth="1"/>
    <col min="2" max="2" width="7.7109375" style="25" customWidth="1"/>
    <col min="3" max="3" width="12.5703125" style="25" customWidth="1"/>
    <col min="4" max="4" width="11.42578125" style="23" customWidth="1"/>
    <col min="5" max="5" width="7.28515625" style="23" customWidth="1"/>
    <col min="6" max="17" width="10.42578125" style="25" customWidth="1"/>
    <col min="18" max="18" width="10.42578125" style="26" customWidth="1"/>
    <col min="19" max="16384" width="9.140625" style="25"/>
  </cols>
  <sheetData>
    <row r="2" spans="2:18" ht="19.5">
      <c r="B2" s="1" t="s">
        <v>1664</v>
      </c>
      <c r="C2" s="2"/>
      <c r="F2" s="2"/>
    </row>
    <row r="3" spans="2:18">
      <c r="B3" s="3" t="s">
        <v>103</v>
      </c>
      <c r="C3" s="2"/>
      <c r="F3" s="2"/>
    </row>
    <row r="5" spans="2:18">
      <c r="B5" s="27" t="s">
        <v>15</v>
      </c>
      <c r="C5" s="27"/>
      <c r="D5" s="28"/>
      <c r="E5" s="28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 t="s">
        <v>24</v>
      </c>
      <c r="R5" s="27"/>
    </row>
    <row r="6" spans="2:18">
      <c r="B6" s="29"/>
      <c r="C6" s="29"/>
      <c r="D6" s="30"/>
      <c r="E6" s="30"/>
      <c r="F6" s="31">
        <v>41456</v>
      </c>
      <c r="G6" s="31">
        <v>41487</v>
      </c>
      <c r="H6" s="31">
        <v>41518</v>
      </c>
      <c r="I6" s="31">
        <v>41548</v>
      </c>
      <c r="J6" s="31">
        <v>41579</v>
      </c>
      <c r="K6" s="31">
        <v>41609</v>
      </c>
      <c r="L6" s="31">
        <v>41640</v>
      </c>
      <c r="M6" s="31">
        <v>41671</v>
      </c>
      <c r="N6" s="31">
        <v>41699</v>
      </c>
      <c r="O6" s="31">
        <v>41730</v>
      </c>
      <c r="P6" s="31">
        <v>41760</v>
      </c>
      <c r="Q6" s="31">
        <v>41791</v>
      </c>
      <c r="R6" s="64" t="s">
        <v>20</v>
      </c>
    </row>
    <row r="7" spans="2:18" ht="8.25" customHeight="1"/>
    <row r="8" spans="2:18">
      <c r="B8" s="25" t="s">
        <v>19</v>
      </c>
      <c r="F8" s="32">
        <f>F46</f>
        <v>3985.7142857142858</v>
      </c>
      <c r="G8" s="32">
        <f t="shared" ref="G8:Q8" si="0">G46</f>
        <v>5580</v>
      </c>
      <c r="H8" s="32">
        <f t="shared" si="0"/>
        <v>7812</v>
      </c>
      <c r="I8" s="32">
        <f t="shared" si="0"/>
        <v>10936.8</v>
      </c>
      <c r="J8" s="32">
        <f t="shared" si="0"/>
        <v>15311.52</v>
      </c>
      <c r="K8" s="32">
        <f t="shared" si="0"/>
        <v>21436.127999999997</v>
      </c>
      <c r="L8" s="32">
        <f t="shared" si="0"/>
        <v>30010.5792</v>
      </c>
      <c r="M8" s="32">
        <f t="shared" si="0"/>
        <v>42014.810879999997</v>
      </c>
      <c r="N8" s="32">
        <f t="shared" si="0"/>
        <v>58820.735231999999</v>
      </c>
      <c r="O8" s="32">
        <f t="shared" si="0"/>
        <v>82349.029324799994</v>
      </c>
      <c r="P8" s="32">
        <f t="shared" si="0"/>
        <v>115288.64105471998</v>
      </c>
      <c r="Q8" s="32">
        <f t="shared" si="0"/>
        <v>161404.09747660797</v>
      </c>
      <c r="R8" s="33">
        <f>SUM(F8:Q8)</f>
        <v>554950.05545384227</v>
      </c>
    </row>
    <row r="9" spans="2:18">
      <c r="B9" s="25" t="s">
        <v>104</v>
      </c>
      <c r="F9" s="32">
        <f>F63</f>
        <v>23078.49043344615</v>
      </c>
      <c r="G9" s="32">
        <f t="shared" ref="G9:Q9" si="1">G63</f>
        <v>32309.88660682461</v>
      </c>
      <c r="H9" s="32">
        <f t="shared" si="1"/>
        <v>45233.841249554454</v>
      </c>
      <c r="I9" s="32">
        <f t="shared" si="1"/>
        <v>63327.377749376239</v>
      </c>
      <c r="J9" s="32">
        <f t="shared" si="1"/>
        <v>88658.32884912673</v>
      </c>
      <c r="K9" s="32">
        <f t="shared" si="1"/>
        <v>124121.6603887774</v>
      </c>
      <c r="L9" s="32">
        <f t="shared" si="1"/>
        <v>173770.32454428839</v>
      </c>
      <c r="M9" s="32">
        <f t="shared" si="1"/>
        <v>243278.45436200371</v>
      </c>
      <c r="N9" s="32">
        <f t="shared" si="1"/>
        <v>340589.83610680525</v>
      </c>
      <c r="O9" s="32">
        <f t="shared" si="1"/>
        <v>476825.77054952731</v>
      </c>
      <c r="P9" s="32">
        <f t="shared" si="1"/>
        <v>667556.07876933808</v>
      </c>
      <c r="Q9" s="32">
        <f t="shared" si="1"/>
        <v>934578.51027707348</v>
      </c>
      <c r="R9" s="33">
        <f t="shared" ref="R9:R10" si="2">SUM(F9:Q9)</f>
        <v>3213328.5598861417</v>
      </c>
    </row>
    <row r="10" spans="2:18">
      <c r="B10" s="25" t="s">
        <v>17</v>
      </c>
      <c r="F10" s="32">
        <f>F110</f>
        <v>8475.7744076242288</v>
      </c>
      <c r="G10" s="32">
        <f t="shared" ref="G10:Q10" si="3">G110</f>
        <v>11866.084170673919</v>
      </c>
      <c r="H10" s="32">
        <f t="shared" si="3"/>
        <v>16612.517838943488</v>
      </c>
      <c r="I10" s="32">
        <f t="shared" si="3"/>
        <v>23257.524974520878</v>
      </c>
      <c r="J10" s="32">
        <f t="shared" si="3"/>
        <v>32560.534964329236</v>
      </c>
      <c r="K10" s="32">
        <f t="shared" si="3"/>
        <v>45584.748950060923</v>
      </c>
      <c r="L10" s="32">
        <f t="shared" si="3"/>
        <v>63818.648530085302</v>
      </c>
      <c r="M10" s="32">
        <f t="shared" si="3"/>
        <v>89346.107942119415</v>
      </c>
      <c r="N10" s="32">
        <f t="shared" si="3"/>
        <v>125084.55111896718</v>
      </c>
      <c r="O10" s="32">
        <f t="shared" si="3"/>
        <v>175118.37156655404</v>
      </c>
      <c r="P10" s="32">
        <f t="shared" si="3"/>
        <v>245165.7201931756</v>
      </c>
      <c r="Q10" s="32">
        <f t="shared" si="3"/>
        <v>343232.00827044592</v>
      </c>
      <c r="R10" s="33">
        <f t="shared" si="2"/>
        <v>1180122.5929275001</v>
      </c>
    </row>
    <row r="11" spans="2:18" ht="7.5" customHeight="1"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5"/>
    </row>
    <row r="12" spans="2:18">
      <c r="F12" s="32">
        <f t="shared" ref="F12:R12" si="4">SUM(F8:F10)</f>
        <v>35539.979126784667</v>
      </c>
      <c r="G12" s="32">
        <f t="shared" si="4"/>
        <v>49755.970777498529</v>
      </c>
      <c r="H12" s="32">
        <f t="shared" si="4"/>
        <v>69658.359088497935</v>
      </c>
      <c r="I12" s="32">
        <f t="shared" si="4"/>
        <v>97521.70272389712</v>
      </c>
      <c r="J12" s="32">
        <f t="shared" si="4"/>
        <v>136530.38381345596</v>
      </c>
      <c r="K12" s="32">
        <f t="shared" si="4"/>
        <v>191142.53733883833</v>
      </c>
      <c r="L12" s="32">
        <f t="shared" si="4"/>
        <v>267599.55227437371</v>
      </c>
      <c r="M12" s="32">
        <f t="shared" si="4"/>
        <v>374639.37318412313</v>
      </c>
      <c r="N12" s="32">
        <f t="shared" si="4"/>
        <v>524495.12245777249</v>
      </c>
      <c r="O12" s="32">
        <f t="shared" si="4"/>
        <v>734293.17144088133</v>
      </c>
      <c r="P12" s="32">
        <f t="shared" si="4"/>
        <v>1028010.4400172336</v>
      </c>
      <c r="Q12" s="32">
        <f t="shared" si="4"/>
        <v>1439214.6160241275</v>
      </c>
      <c r="R12" s="33">
        <f t="shared" si="4"/>
        <v>4948401.2082674839</v>
      </c>
    </row>
    <row r="14" spans="2:18">
      <c r="B14" s="27" t="s">
        <v>44</v>
      </c>
      <c r="C14" s="27"/>
      <c r="D14" s="28"/>
      <c r="E14" s="28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 t="s">
        <v>24</v>
      </c>
      <c r="R14" s="27"/>
    </row>
    <row r="15" spans="2:18">
      <c r="B15" s="29"/>
      <c r="C15" s="29"/>
      <c r="D15" s="30"/>
      <c r="E15" s="30"/>
      <c r="F15" s="31">
        <v>41456</v>
      </c>
      <c r="G15" s="31">
        <v>41487</v>
      </c>
      <c r="H15" s="31">
        <v>41518</v>
      </c>
      <c r="I15" s="31">
        <v>41548</v>
      </c>
      <c r="J15" s="31">
        <v>41579</v>
      </c>
      <c r="K15" s="31">
        <v>41609</v>
      </c>
      <c r="L15" s="31">
        <v>41640</v>
      </c>
      <c r="M15" s="31">
        <v>41671</v>
      </c>
      <c r="N15" s="31">
        <v>41699</v>
      </c>
      <c r="O15" s="31">
        <v>41730</v>
      </c>
      <c r="P15" s="31">
        <v>41760</v>
      </c>
      <c r="Q15" s="31">
        <v>41791</v>
      </c>
      <c r="R15" s="64" t="s">
        <v>20</v>
      </c>
    </row>
    <row r="17" spans="2:18">
      <c r="B17" s="25" t="s">
        <v>21</v>
      </c>
      <c r="F17" s="32">
        <f t="shared" ref="F17:Q17" si="5">F12*F22</f>
        <v>35539.979126784667</v>
      </c>
      <c r="G17" s="32">
        <f t="shared" si="5"/>
        <v>49755.970777498529</v>
      </c>
      <c r="H17" s="32">
        <f t="shared" si="5"/>
        <v>69658.359088497935</v>
      </c>
      <c r="I17" s="32">
        <f t="shared" si="5"/>
        <v>97521.70272389712</v>
      </c>
      <c r="J17" s="32">
        <f t="shared" si="5"/>
        <v>136530.38381345596</v>
      </c>
      <c r="K17" s="32">
        <f t="shared" si="5"/>
        <v>191142.53733883833</v>
      </c>
      <c r="L17" s="32">
        <f t="shared" si="5"/>
        <v>254219.57466065502</v>
      </c>
      <c r="M17" s="32">
        <f t="shared" si="5"/>
        <v>337175.43586571078</v>
      </c>
      <c r="N17" s="32">
        <f t="shared" si="5"/>
        <v>445820.85408910655</v>
      </c>
      <c r="O17" s="32">
        <f t="shared" si="5"/>
        <v>587434.5371527049</v>
      </c>
      <c r="P17" s="32">
        <f t="shared" si="5"/>
        <v>771007.83001292497</v>
      </c>
      <c r="Q17" s="32">
        <f t="shared" si="5"/>
        <v>1007450.2312168889</v>
      </c>
      <c r="R17" s="33">
        <f>SUM(F17:Q17)</f>
        <v>3983257.3958669635</v>
      </c>
    </row>
    <row r="18" spans="2:18">
      <c r="B18" s="25" t="s">
        <v>22</v>
      </c>
      <c r="F18" s="32">
        <f t="shared" ref="F18:Q18" si="6">F12*F23</f>
        <v>0</v>
      </c>
      <c r="G18" s="32">
        <f t="shared" si="6"/>
        <v>0</v>
      </c>
      <c r="H18" s="32">
        <f t="shared" si="6"/>
        <v>0</v>
      </c>
      <c r="I18" s="32">
        <f t="shared" si="6"/>
        <v>0</v>
      </c>
      <c r="J18" s="32">
        <f t="shared" si="6"/>
        <v>0</v>
      </c>
      <c r="K18" s="32">
        <f t="shared" si="6"/>
        <v>0</v>
      </c>
      <c r="L18" s="32">
        <f t="shared" si="6"/>
        <v>13379.977613718698</v>
      </c>
      <c r="M18" s="32">
        <f t="shared" si="6"/>
        <v>37463.937318412347</v>
      </c>
      <c r="N18" s="32">
        <f t="shared" si="6"/>
        <v>78674.268368665944</v>
      </c>
      <c r="O18" s="32">
        <f t="shared" si="6"/>
        <v>146858.6342881764</v>
      </c>
      <c r="P18" s="32">
        <f t="shared" si="6"/>
        <v>257002.61000430863</v>
      </c>
      <c r="Q18" s="32">
        <f t="shared" si="6"/>
        <v>431764.38480723865</v>
      </c>
      <c r="R18" s="33">
        <f t="shared" ref="R18" si="7">SUM(F18:Q18)</f>
        <v>965143.81240052055</v>
      </c>
    </row>
    <row r="19" spans="2:18"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5"/>
    </row>
    <row r="20" spans="2:18">
      <c r="F20" s="32">
        <f t="shared" ref="F20:R20" si="8">SUM(F17:F18)</f>
        <v>35539.979126784667</v>
      </c>
      <c r="G20" s="32">
        <f t="shared" si="8"/>
        <v>49755.970777498529</v>
      </c>
      <c r="H20" s="32">
        <f t="shared" si="8"/>
        <v>69658.359088497935</v>
      </c>
      <c r="I20" s="32">
        <f t="shared" si="8"/>
        <v>97521.70272389712</v>
      </c>
      <c r="J20" s="32">
        <f t="shared" si="8"/>
        <v>136530.38381345596</v>
      </c>
      <c r="K20" s="32">
        <f t="shared" si="8"/>
        <v>191142.53733883833</v>
      </c>
      <c r="L20" s="32">
        <f t="shared" si="8"/>
        <v>267599.55227437371</v>
      </c>
      <c r="M20" s="32">
        <f t="shared" si="8"/>
        <v>374639.37318412313</v>
      </c>
      <c r="N20" s="32">
        <f t="shared" si="8"/>
        <v>524495.12245777249</v>
      </c>
      <c r="O20" s="32">
        <f t="shared" si="8"/>
        <v>734293.17144088133</v>
      </c>
      <c r="P20" s="32">
        <f t="shared" si="8"/>
        <v>1028010.4400172336</v>
      </c>
      <c r="Q20" s="32">
        <f t="shared" si="8"/>
        <v>1439214.6160241275</v>
      </c>
      <c r="R20" s="33">
        <f t="shared" si="8"/>
        <v>4948401.2082674839</v>
      </c>
    </row>
    <row r="21" spans="2:18"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3"/>
    </row>
    <row r="22" spans="2:18" s="23" customFormat="1">
      <c r="B22" s="23" t="s">
        <v>27</v>
      </c>
      <c r="F22" s="36">
        <v>1</v>
      </c>
      <c r="G22" s="36">
        <v>1</v>
      </c>
      <c r="H22" s="36">
        <v>1</v>
      </c>
      <c r="I22" s="36">
        <v>1</v>
      </c>
      <c r="J22" s="36">
        <v>1</v>
      </c>
      <c r="K22" s="36">
        <v>1</v>
      </c>
      <c r="L22" s="36">
        <f>K22-5%</f>
        <v>0.95</v>
      </c>
      <c r="M22" s="36">
        <f t="shared" ref="M22:Q22" si="9">L22-5%</f>
        <v>0.89999999999999991</v>
      </c>
      <c r="N22" s="36">
        <f t="shared" si="9"/>
        <v>0.84999999999999987</v>
      </c>
      <c r="O22" s="36">
        <f t="shared" si="9"/>
        <v>0.79999999999999982</v>
      </c>
      <c r="P22" s="36">
        <f t="shared" si="9"/>
        <v>0.74999999999999978</v>
      </c>
      <c r="Q22" s="36">
        <f t="shared" si="9"/>
        <v>0.69999999999999973</v>
      </c>
      <c r="R22" s="37"/>
    </row>
    <row r="23" spans="2:18" s="23" customFormat="1">
      <c r="B23" s="23" t="s">
        <v>28</v>
      </c>
      <c r="F23" s="36">
        <f>1-F22</f>
        <v>0</v>
      </c>
      <c r="G23" s="36">
        <f t="shared" ref="G23:Q23" si="10">1-G22</f>
        <v>0</v>
      </c>
      <c r="H23" s="36">
        <f t="shared" si="10"/>
        <v>0</v>
      </c>
      <c r="I23" s="36">
        <f t="shared" si="10"/>
        <v>0</v>
      </c>
      <c r="J23" s="36">
        <f t="shared" si="10"/>
        <v>0</v>
      </c>
      <c r="K23" s="36">
        <f t="shared" si="10"/>
        <v>0</v>
      </c>
      <c r="L23" s="36">
        <f t="shared" si="10"/>
        <v>5.0000000000000044E-2</v>
      </c>
      <c r="M23" s="36">
        <f t="shared" si="10"/>
        <v>0.10000000000000009</v>
      </c>
      <c r="N23" s="36">
        <f t="shared" si="10"/>
        <v>0.15000000000000013</v>
      </c>
      <c r="O23" s="36">
        <f t="shared" si="10"/>
        <v>0.20000000000000018</v>
      </c>
      <c r="P23" s="36">
        <f t="shared" si="10"/>
        <v>0.25000000000000022</v>
      </c>
      <c r="Q23" s="36">
        <f t="shared" si="10"/>
        <v>0.30000000000000027</v>
      </c>
      <c r="R23" s="37"/>
    </row>
    <row r="24" spans="2:18"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3"/>
    </row>
    <row r="26" spans="2:18">
      <c r="B26" s="38" t="s">
        <v>65</v>
      </c>
      <c r="C26" s="39"/>
      <c r="D26" s="40"/>
      <c r="E26" s="40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41"/>
    </row>
    <row r="27" spans="2:18">
      <c r="B27" s="42"/>
      <c r="C27" s="43"/>
      <c r="D27" s="44" t="s">
        <v>55</v>
      </c>
      <c r="E27" s="44"/>
      <c r="F27" s="45">
        <v>41456</v>
      </c>
      <c r="G27" s="45">
        <v>41487</v>
      </c>
      <c r="H27" s="45">
        <v>41518</v>
      </c>
      <c r="I27" s="45">
        <v>41548</v>
      </c>
      <c r="J27" s="45">
        <v>41579</v>
      </c>
      <c r="K27" s="45">
        <v>41609</v>
      </c>
      <c r="L27" s="45">
        <v>41640</v>
      </c>
      <c r="M27" s="45">
        <v>41671</v>
      </c>
      <c r="N27" s="45">
        <v>41699</v>
      </c>
      <c r="O27" s="45">
        <v>41730</v>
      </c>
      <c r="P27" s="45">
        <v>41760</v>
      </c>
      <c r="Q27" s="45">
        <v>41791</v>
      </c>
      <c r="R27" s="63" t="s">
        <v>20</v>
      </c>
    </row>
    <row r="28" spans="2:18">
      <c r="B28" s="47"/>
      <c r="C28" s="48"/>
      <c r="D28" s="49"/>
      <c r="E28" s="49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50"/>
    </row>
    <row r="29" spans="2:18">
      <c r="B29" s="47" t="s">
        <v>90</v>
      </c>
      <c r="C29" s="48"/>
      <c r="D29" s="49"/>
      <c r="E29" s="49"/>
      <c r="F29" s="51">
        <v>200</v>
      </c>
      <c r="G29" s="51">
        <f>F29*1.4</f>
        <v>280</v>
      </c>
      <c r="H29" s="51">
        <f t="shared" ref="H29:Q29" si="11">G29*1.4</f>
        <v>392</v>
      </c>
      <c r="I29" s="51">
        <f t="shared" si="11"/>
        <v>548.79999999999995</v>
      </c>
      <c r="J29" s="51">
        <f t="shared" si="11"/>
        <v>768.31999999999994</v>
      </c>
      <c r="K29" s="51">
        <f t="shared" si="11"/>
        <v>1075.6479999999999</v>
      </c>
      <c r="L29" s="51">
        <f t="shared" si="11"/>
        <v>1505.9071999999999</v>
      </c>
      <c r="M29" s="51">
        <f t="shared" si="11"/>
        <v>2108.2700799999998</v>
      </c>
      <c r="N29" s="51">
        <f t="shared" si="11"/>
        <v>2951.5781119999997</v>
      </c>
      <c r="O29" s="51">
        <f t="shared" si="11"/>
        <v>4132.2093567999991</v>
      </c>
      <c r="P29" s="51">
        <f t="shared" si="11"/>
        <v>5785.0930995199988</v>
      </c>
      <c r="Q29" s="51">
        <f t="shared" si="11"/>
        <v>8099.1303393279977</v>
      </c>
      <c r="R29" s="52">
        <f t="shared" ref="R29" si="12">SUM(F29:Q29)</f>
        <v>27846.956187647993</v>
      </c>
    </row>
    <row r="30" spans="2:18">
      <c r="B30" s="47" t="s">
        <v>91</v>
      </c>
      <c r="C30" s="48"/>
      <c r="D30" s="49"/>
      <c r="E30" s="49"/>
      <c r="F30" s="51">
        <v>400</v>
      </c>
      <c r="G30" s="51">
        <f>F30*1.4</f>
        <v>560</v>
      </c>
      <c r="H30" s="51">
        <f t="shared" ref="H30:Q30" si="13">G30*1.4</f>
        <v>784</v>
      </c>
      <c r="I30" s="51">
        <f t="shared" si="13"/>
        <v>1097.5999999999999</v>
      </c>
      <c r="J30" s="51">
        <f t="shared" si="13"/>
        <v>1536.6399999999999</v>
      </c>
      <c r="K30" s="51">
        <f t="shared" si="13"/>
        <v>2151.2959999999998</v>
      </c>
      <c r="L30" s="51">
        <f t="shared" si="13"/>
        <v>3011.8143999999998</v>
      </c>
      <c r="M30" s="51">
        <f t="shared" si="13"/>
        <v>4216.5401599999996</v>
      </c>
      <c r="N30" s="51">
        <f t="shared" si="13"/>
        <v>5903.1562239999994</v>
      </c>
      <c r="O30" s="51">
        <f t="shared" si="13"/>
        <v>8264.4187135999982</v>
      </c>
      <c r="P30" s="51">
        <f t="shared" si="13"/>
        <v>11570.186199039998</v>
      </c>
      <c r="Q30" s="51">
        <f t="shared" si="13"/>
        <v>16198.260678655995</v>
      </c>
      <c r="R30" s="52">
        <f>SUM(F30:Q30)</f>
        <v>55693.912375295986</v>
      </c>
    </row>
    <row r="31" spans="2:18" ht="5.25" customHeight="1">
      <c r="B31" s="47"/>
      <c r="C31" s="48"/>
      <c r="D31" s="49"/>
      <c r="E31" s="49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53"/>
    </row>
    <row r="32" spans="2:18">
      <c r="B32" s="47"/>
      <c r="C32" s="48"/>
      <c r="D32" s="49"/>
      <c r="E32" s="49"/>
      <c r="F32" s="51">
        <f>SUM(F29:F31)</f>
        <v>600</v>
      </c>
      <c r="G32" s="51">
        <f t="shared" ref="G32:Q32" si="14">SUM(G29:G31)</f>
        <v>840</v>
      </c>
      <c r="H32" s="51">
        <f t="shared" si="14"/>
        <v>1176</v>
      </c>
      <c r="I32" s="51">
        <f t="shared" si="14"/>
        <v>1646.3999999999999</v>
      </c>
      <c r="J32" s="51">
        <f t="shared" si="14"/>
        <v>2304.96</v>
      </c>
      <c r="K32" s="51">
        <f t="shared" si="14"/>
        <v>3226.9439999999995</v>
      </c>
      <c r="L32" s="51">
        <f t="shared" si="14"/>
        <v>4517.7215999999999</v>
      </c>
      <c r="M32" s="51">
        <f t="shared" si="14"/>
        <v>6324.8102399999989</v>
      </c>
      <c r="N32" s="51">
        <f t="shared" si="14"/>
        <v>8854.7343359999995</v>
      </c>
      <c r="O32" s="51">
        <f t="shared" si="14"/>
        <v>12396.628070399998</v>
      </c>
      <c r="P32" s="51">
        <f t="shared" si="14"/>
        <v>17355.279298559995</v>
      </c>
      <c r="Q32" s="51">
        <f t="shared" si="14"/>
        <v>24297.391017983995</v>
      </c>
      <c r="R32" s="52">
        <f t="shared" ref="R32" si="15">SUM(F32:Q32)</f>
        <v>83540.868562944001</v>
      </c>
    </row>
    <row r="33" spans="2:19" s="23" customFormat="1">
      <c r="B33" s="92" t="s">
        <v>92</v>
      </c>
      <c r="C33" s="49"/>
      <c r="D33" s="49"/>
      <c r="E33" s="49"/>
      <c r="F33" s="89"/>
      <c r="G33" s="90">
        <f>G32/F32-1</f>
        <v>0.39999999999999991</v>
      </c>
      <c r="H33" s="90">
        <f t="shared" ref="H33:Q33" si="16">H32/G32-1</f>
        <v>0.39999999999999991</v>
      </c>
      <c r="I33" s="90">
        <f t="shared" si="16"/>
        <v>0.39999999999999991</v>
      </c>
      <c r="J33" s="90">
        <f t="shared" si="16"/>
        <v>0.40000000000000013</v>
      </c>
      <c r="K33" s="90">
        <f t="shared" si="16"/>
        <v>0.39999999999999969</v>
      </c>
      <c r="L33" s="90">
        <f t="shared" si="16"/>
        <v>0.40000000000000013</v>
      </c>
      <c r="M33" s="90">
        <f t="shared" si="16"/>
        <v>0.39999999999999969</v>
      </c>
      <c r="N33" s="90">
        <f t="shared" si="16"/>
        <v>0.40000000000000013</v>
      </c>
      <c r="O33" s="90">
        <f t="shared" si="16"/>
        <v>0.39999999999999991</v>
      </c>
      <c r="P33" s="90">
        <f t="shared" si="16"/>
        <v>0.39999999999999991</v>
      </c>
      <c r="Q33" s="90">
        <f t="shared" si="16"/>
        <v>0.40000000000000013</v>
      </c>
      <c r="R33" s="93"/>
    </row>
    <row r="34" spans="2:19">
      <c r="B34" s="98" t="s">
        <v>88</v>
      </c>
      <c r="C34" s="48"/>
      <c r="D34" s="49"/>
      <c r="E34" s="49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2"/>
    </row>
    <row r="35" spans="2:19" s="23" customFormat="1">
      <c r="B35" s="92" t="s">
        <v>95</v>
      </c>
      <c r="C35" s="49"/>
      <c r="D35" s="49"/>
      <c r="E35" s="49" t="s">
        <v>34</v>
      </c>
      <c r="F35" s="90">
        <f>'Medic Data'!F18</f>
        <v>0.96875858189662523</v>
      </c>
      <c r="G35" s="90">
        <f>F35</f>
        <v>0.96875858189662523</v>
      </c>
      <c r="H35" s="90">
        <f t="shared" ref="H35:Q35" si="17">G35</f>
        <v>0.96875858189662523</v>
      </c>
      <c r="I35" s="90">
        <f t="shared" si="17"/>
        <v>0.96875858189662523</v>
      </c>
      <c r="J35" s="90">
        <f t="shared" si="17"/>
        <v>0.96875858189662523</v>
      </c>
      <c r="K35" s="90">
        <f t="shared" si="17"/>
        <v>0.96875858189662523</v>
      </c>
      <c r="L35" s="90">
        <f t="shared" si="17"/>
        <v>0.96875858189662523</v>
      </c>
      <c r="M35" s="90">
        <f t="shared" si="17"/>
        <v>0.96875858189662523</v>
      </c>
      <c r="N35" s="90">
        <f t="shared" si="17"/>
        <v>0.96875858189662523</v>
      </c>
      <c r="O35" s="90">
        <f t="shared" si="17"/>
        <v>0.96875858189662523</v>
      </c>
      <c r="P35" s="90">
        <f t="shared" si="17"/>
        <v>0.96875858189662523</v>
      </c>
      <c r="Q35" s="90">
        <f t="shared" si="17"/>
        <v>0.96875858189662523</v>
      </c>
      <c r="R35" s="93"/>
    </row>
    <row r="36" spans="2:19">
      <c r="B36" s="47" t="s">
        <v>81</v>
      </c>
      <c r="C36" s="48"/>
      <c r="D36" s="49"/>
      <c r="E36" s="49"/>
      <c r="F36" s="51">
        <f>F32*F35</f>
        <v>581.25514913797508</v>
      </c>
      <c r="G36" s="51">
        <f t="shared" ref="G36:Q36" si="18">G32*G35</f>
        <v>813.7572087931652</v>
      </c>
      <c r="H36" s="51">
        <f t="shared" si="18"/>
        <v>1139.2600923104312</v>
      </c>
      <c r="I36" s="51">
        <f t="shared" si="18"/>
        <v>1594.9641292346037</v>
      </c>
      <c r="J36" s="51">
        <f t="shared" si="18"/>
        <v>2232.9497809284453</v>
      </c>
      <c r="K36" s="51">
        <f t="shared" si="18"/>
        <v>3126.129693299823</v>
      </c>
      <c r="L36" s="51">
        <f t="shared" si="18"/>
        <v>4376.5815706197527</v>
      </c>
      <c r="M36" s="51">
        <f t="shared" si="18"/>
        <v>6127.2141988676531</v>
      </c>
      <c r="N36" s="51">
        <f t="shared" si="18"/>
        <v>8578.0998784147141</v>
      </c>
      <c r="O36" s="51">
        <f t="shared" si="18"/>
        <v>12009.3398297806</v>
      </c>
      <c r="P36" s="51">
        <f t="shared" si="18"/>
        <v>16813.075761692839</v>
      </c>
      <c r="Q36" s="51">
        <f t="shared" si="18"/>
        <v>23538.306066369973</v>
      </c>
      <c r="R36" s="52">
        <f t="shared" ref="R36" si="19">SUM(F36:Q36)</f>
        <v>80930.933359449962</v>
      </c>
    </row>
    <row r="37" spans="2:19" s="23" customFormat="1">
      <c r="B37" s="92" t="s">
        <v>93</v>
      </c>
      <c r="C37" s="49"/>
      <c r="D37" s="49"/>
      <c r="E37" s="49" t="s">
        <v>34</v>
      </c>
      <c r="F37" s="105">
        <f>'Medic Data'!F17</f>
        <v>7.1134973133231219</v>
      </c>
      <c r="G37" s="105">
        <f>F37</f>
        <v>7.1134973133231219</v>
      </c>
      <c r="H37" s="105">
        <f t="shared" ref="H37:Q37" si="20">G37</f>
        <v>7.1134973133231219</v>
      </c>
      <c r="I37" s="105">
        <f t="shared" si="20"/>
        <v>7.1134973133231219</v>
      </c>
      <c r="J37" s="105">
        <f t="shared" si="20"/>
        <v>7.1134973133231219</v>
      </c>
      <c r="K37" s="105">
        <f t="shared" si="20"/>
        <v>7.1134973133231219</v>
      </c>
      <c r="L37" s="105">
        <f t="shared" si="20"/>
        <v>7.1134973133231219</v>
      </c>
      <c r="M37" s="105">
        <f t="shared" si="20"/>
        <v>7.1134973133231219</v>
      </c>
      <c r="N37" s="105">
        <f t="shared" si="20"/>
        <v>7.1134973133231219</v>
      </c>
      <c r="O37" s="105">
        <f t="shared" si="20"/>
        <v>7.1134973133231219</v>
      </c>
      <c r="P37" s="105">
        <f t="shared" si="20"/>
        <v>7.1134973133231219</v>
      </c>
      <c r="Q37" s="105">
        <f t="shared" si="20"/>
        <v>7.1134973133231219</v>
      </c>
      <c r="R37" s="93"/>
    </row>
    <row r="38" spans="2:19">
      <c r="B38" s="60" t="s">
        <v>94</v>
      </c>
      <c r="C38" s="61"/>
      <c r="D38" s="62"/>
      <c r="E38" s="62"/>
      <c r="F38" s="34">
        <f>F36*F37</f>
        <v>4134.7569417482164</v>
      </c>
      <c r="G38" s="34">
        <f t="shared" ref="G38:Q38" si="21">G36*G37</f>
        <v>5788.6597184475031</v>
      </c>
      <c r="H38" s="34">
        <f t="shared" si="21"/>
        <v>8104.123605826504</v>
      </c>
      <c r="I38" s="34">
        <f t="shared" si="21"/>
        <v>11345.773048157105</v>
      </c>
      <c r="J38" s="34">
        <f t="shared" si="21"/>
        <v>15884.08226741995</v>
      </c>
      <c r="K38" s="34">
        <f t="shared" si="21"/>
        <v>22237.715174387926</v>
      </c>
      <c r="L38" s="34">
        <f t="shared" si="21"/>
        <v>31132.801244143098</v>
      </c>
      <c r="M38" s="34">
        <f t="shared" si="21"/>
        <v>43585.921741800332</v>
      </c>
      <c r="N38" s="34">
        <f t="shared" si="21"/>
        <v>61020.290438520467</v>
      </c>
      <c r="O38" s="34">
        <f t="shared" si="21"/>
        <v>85428.406613928659</v>
      </c>
      <c r="P38" s="34">
        <f t="shared" si="21"/>
        <v>119599.76925950011</v>
      </c>
      <c r="Q38" s="34">
        <f t="shared" si="21"/>
        <v>167439.67696330015</v>
      </c>
      <c r="R38" s="53">
        <f>SUM(F38:Q38)</f>
        <v>575701.97701718006</v>
      </c>
      <c r="S38" s="89"/>
    </row>
    <row r="40" spans="2:19">
      <c r="B40" s="38" t="s">
        <v>96</v>
      </c>
      <c r="C40" s="39"/>
      <c r="D40" s="40"/>
      <c r="E40" s="40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 t="s">
        <v>24</v>
      </c>
      <c r="R40" s="41"/>
    </row>
    <row r="41" spans="2:19">
      <c r="B41" s="42"/>
      <c r="C41" s="43"/>
      <c r="D41" s="44"/>
      <c r="E41" s="44"/>
      <c r="F41" s="45">
        <v>41456</v>
      </c>
      <c r="G41" s="45">
        <v>41487</v>
      </c>
      <c r="H41" s="45">
        <v>41518</v>
      </c>
      <c r="I41" s="45">
        <v>41548</v>
      </c>
      <c r="J41" s="45">
        <v>41579</v>
      </c>
      <c r="K41" s="45">
        <v>41609</v>
      </c>
      <c r="L41" s="45">
        <v>41640</v>
      </c>
      <c r="M41" s="45">
        <v>41671</v>
      </c>
      <c r="N41" s="45">
        <v>41699</v>
      </c>
      <c r="O41" s="45">
        <v>41730</v>
      </c>
      <c r="P41" s="45">
        <v>41760</v>
      </c>
      <c r="Q41" s="45">
        <v>41791</v>
      </c>
      <c r="R41" s="46" t="s">
        <v>20</v>
      </c>
    </row>
    <row r="42" spans="2:19" ht="3.75" customHeight="1">
      <c r="B42" s="47"/>
      <c r="C42" s="48"/>
      <c r="D42" s="49"/>
      <c r="E42" s="49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50"/>
    </row>
    <row r="43" spans="2:19">
      <c r="B43" s="47" t="s">
        <v>97</v>
      </c>
      <c r="C43" s="48"/>
      <c r="D43" s="49"/>
      <c r="E43" s="49"/>
      <c r="F43" s="51">
        <f>F32</f>
        <v>600</v>
      </c>
      <c r="G43" s="51">
        <f t="shared" ref="G43:Q43" si="22">G32</f>
        <v>840</v>
      </c>
      <c r="H43" s="51">
        <f t="shared" si="22"/>
        <v>1176</v>
      </c>
      <c r="I43" s="51">
        <f t="shared" si="22"/>
        <v>1646.3999999999999</v>
      </c>
      <c r="J43" s="51">
        <f t="shared" si="22"/>
        <v>2304.96</v>
      </c>
      <c r="K43" s="51">
        <f t="shared" si="22"/>
        <v>3226.9439999999995</v>
      </c>
      <c r="L43" s="51">
        <f t="shared" si="22"/>
        <v>4517.7215999999999</v>
      </c>
      <c r="M43" s="51">
        <f t="shared" si="22"/>
        <v>6324.8102399999989</v>
      </c>
      <c r="N43" s="51">
        <f t="shared" si="22"/>
        <v>8854.7343359999995</v>
      </c>
      <c r="O43" s="51">
        <f t="shared" si="22"/>
        <v>12396.628070399998</v>
      </c>
      <c r="P43" s="51">
        <f t="shared" si="22"/>
        <v>17355.279298559995</v>
      </c>
      <c r="Q43" s="51">
        <f t="shared" si="22"/>
        <v>24297.391017983995</v>
      </c>
      <c r="R43" s="52">
        <f t="shared" ref="R43" si="23">SUM(F43:Q43)</f>
        <v>83540.868562944001</v>
      </c>
    </row>
    <row r="44" spans="2:19">
      <c r="B44" s="47" t="s">
        <v>98</v>
      </c>
      <c r="C44" s="48"/>
      <c r="D44" s="49"/>
      <c r="E44" s="49"/>
      <c r="F44" s="51">
        <f>'App 3_Service Fee Ref.'!N10</f>
        <v>6.6428571428571432</v>
      </c>
      <c r="G44" s="51">
        <f>F44</f>
        <v>6.6428571428571432</v>
      </c>
      <c r="H44" s="51">
        <f t="shared" ref="H44:Q44" si="24">G44</f>
        <v>6.6428571428571432</v>
      </c>
      <c r="I44" s="51">
        <f t="shared" si="24"/>
        <v>6.6428571428571432</v>
      </c>
      <c r="J44" s="51">
        <f t="shared" si="24"/>
        <v>6.6428571428571432</v>
      </c>
      <c r="K44" s="51">
        <f t="shared" si="24"/>
        <v>6.6428571428571432</v>
      </c>
      <c r="L44" s="51">
        <f t="shared" si="24"/>
        <v>6.6428571428571432</v>
      </c>
      <c r="M44" s="51">
        <f t="shared" si="24"/>
        <v>6.6428571428571432</v>
      </c>
      <c r="N44" s="51">
        <f t="shared" si="24"/>
        <v>6.6428571428571432</v>
      </c>
      <c r="O44" s="51">
        <f t="shared" si="24"/>
        <v>6.6428571428571432</v>
      </c>
      <c r="P44" s="51">
        <f t="shared" si="24"/>
        <v>6.6428571428571432</v>
      </c>
      <c r="Q44" s="51">
        <f t="shared" si="24"/>
        <v>6.6428571428571432</v>
      </c>
      <c r="R44" s="52"/>
    </row>
    <row r="45" spans="2:19" ht="6.75" customHeight="1">
      <c r="B45" s="47"/>
      <c r="C45" s="48"/>
      <c r="D45" s="49"/>
      <c r="E45" s="49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53"/>
    </row>
    <row r="46" spans="2:19">
      <c r="B46" s="60" t="s">
        <v>43</v>
      </c>
      <c r="C46" s="61"/>
      <c r="D46" s="62"/>
      <c r="E46" s="62"/>
      <c r="F46" s="34">
        <f>F43*F44</f>
        <v>3985.7142857142858</v>
      </c>
      <c r="G46" s="34">
        <f t="shared" ref="G46:Q46" si="25">G43*G44</f>
        <v>5580</v>
      </c>
      <c r="H46" s="34">
        <f t="shared" si="25"/>
        <v>7812</v>
      </c>
      <c r="I46" s="34">
        <f t="shared" si="25"/>
        <v>10936.8</v>
      </c>
      <c r="J46" s="34">
        <f t="shared" si="25"/>
        <v>15311.52</v>
      </c>
      <c r="K46" s="34">
        <f t="shared" si="25"/>
        <v>21436.127999999997</v>
      </c>
      <c r="L46" s="34">
        <f t="shared" si="25"/>
        <v>30010.5792</v>
      </c>
      <c r="M46" s="34">
        <f t="shared" si="25"/>
        <v>42014.810879999997</v>
      </c>
      <c r="N46" s="34">
        <f t="shared" si="25"/>
        <v>58820.735231999999</v>
      </c>
      <c r="O46" s="34">
        <f t="shared" si="25"/>
        <v>82349.029324799994</v>
      </c>
      <c r="P46" s="34">
        <f t="shared" si="25"/>
        <v>115288.64105471998</v>
      </c>
      <c r="Q46" s="34">
        <f t="shared" si="25"/>
        <v>161404.09747660797</v>
      </c>
      <c r="R46" s="53">
        <f>SUM(F46:Q46)</f>
        <v>554950.05545384227</v>
      </c>
    </row>
    <row r="48" spans="2:19">
      <c r="B48" s="38" t="s">
        <v>105</v>
      </c>
      <c r="C48" s="39"/>
      <c r="D48" s="40"/>
      <c r="E48" s="40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 t="s">
        <v>24</v>
      </c>
      <c r="R48" s="41"/>
    </row>
    <row r="49" spans="2:18">
      <c r="B49" s="42"/>
      <c r="C49" s="43"/>
      <c r="D49" s="44" t="s">
        <v>55</v>
      </c>
      <c r="E49" s="44"/>
      <c r="F49" s="45">
        <v>41456</v>
      </c>
      <c r="G49" s="45">
        <v>41487</v>
      </c>
      <c r="H49" s="45">
        <v>41518</v>
      </c>
      <c r="I49" s="45">
        <v>41548</v>
      </c>
      <c r="J49" s="45">
        <v>41579</v>
      </c>
      <c r="K49" s="45">
        <v>41609</v>
      </c>
      <c r="L49" s="45">
        <v>41640</v>
      </c>
      <c r="M49" s="45">
        <v>41671</v>
      </c>
      <c r="N49" s="45">
        <v>41699</v>
      </c>
      <c r="O49" s="45">
        <v>41730</v>
      </c>
      <c r="P49" s="45">
        <v>41760</v>
      </c>
      <c r="Q49" s="45">
        <v>41791</v>
      </c>
      <c r="R49" s="46" t="s">
        <v>20</v>
      </c>
    </row>
    <row r="50" spans="2:18" ht="3.75" customHeight="1">
      <c r="B50" s="47"/>
      <c r="C50" s="48"/>
      <c r="D50" s="49"/>
      <c r="E50" s="49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50"/>
    </row>
    <row r="51" spans="2:18">
      <c r="B51" s="47" t="s">
        <v>39</v>
      </c>
      <c r="C51" s="48"/>
      <c r="D51" s="49" t="s">
        <v>54</v>
      </c>
      <c r="E51" s="49"/>
      <c r="F51" s="51">
        <f>F68*F84</f>
        <v>3928.019094660805</v>
      </c>
      <c r="G51" s="51">
        <f t="shared" ref="G51:Q51" si="26">G68*G84</f>
        <v>5499.2267325251278</v>
      </c>
      <c r="H51" s="51">
        <f t="shared" si="26"/>
        <v>7698.9174255351772</v>
      </c>
      <c r="I51" s="51">
        <f t="shared" si="26"/>
        <v>10778.48439574925</v>
      </c>
      <c r="J51" s="51">
        <f t="shared" si="26"/>
        <v>15089.878154048953</v>
      </c>
      <c r="K51" s="51">
        <f t="shared" si="26"/>
        <v>21125.82941566853</v>
      </c>
      <c r="L51" s="51">
        <f t="shared" si="26"/>
        <v>29576.161181935939</v>
      </c>
      <c r="M51" s="51">
        <f t="shared" si="26"/>
        <v>41406.625654710311</v>
      </c>
      <c r="N51" s="51">
        <f t="shared" si="26"/>
        <v>57969.275916594437</v>
      </c>
      <c r="O51" s="51">
        <f t="shared" si="26"/>
        <v>81156.986283232225</v>
      </c>
      <c r="P51" s="51">
        <f t="shared" si="26"/>
        <v>113619.78079652508</v>
      </c>
      <c r="Q51" s="51">
        <f t="shared" si="26"/>
        <v>159067.69311513513</v>
      </c>
      <c r="R51" s="52">
        <f t="shared" ref="R51:R61" si="27">SUM(F51:Q51)</f>
        <v>546916.87816632097</v>
      </c>
    </row>
    <row r="52" spans="2:18">
      <c r="B52" s="47" t="s">
        <v>887</v>
      </c>
      <c r="C52" s="48"/>
      <c r="D52" s="49" t="s">
        <v>54</v>
      </c>
      <c r="E52" s="49"/>
      <c r="F52" s="51">
        <f>F69*F85</f>
        <v>7228.9333864897999</v>
      </c>
      <c r="G52" s="51">
        <f t="shared" ref="G52:Q52" si="28">G69*G85</f>
        <v>10120.506741085719</v>
      </c>
      <c r="H52" s="51">
        <f t="shared" si="28"/>
        <v>14168.709437520005</v>
      </c>
      <c r="I52" s="51">
        <f t="shared" si="28"/>
        <v>19836.193212528007</v>
      </c>
      <c r="J52" s="51">
        <f t="shared" si="28"/>
        <v>27770.670497539217</v>
      </c>
      <c r="K52" s="51">
        <f t="shared" si="28"/>
        <v>38878.938696554891</v>
      </c>
      <c r="L52" s="51">
        <f t="shared" si="28"/>
        <v>54430.514175176861</v>
      </c>
      <c r="M52" s="51">
        <f t="shared" si="28"/>
        <v>76202.719845247586</v>
      </c>
      <c r="N52" s="51">
        <f t="shared" si="28"/>
        <v>106683.80778334662</v>
      </c>
      <c r="O52" s="51">
        <f t="shared" si="28"/>
        <v>149357.33089668528</v>
      </c>
      <c r="P52" s="51">
        <f t="shared" si="28"/>
        <v>209100.26325535937</v>
      </c>
      <c r="Q52" s="51">
        <f t="shared" si="28"/>
        <v>292740.3685575031</v>
      </c>
      <c r="R52" s="52">
        <f>SUM(F52:Q52)</f>
        <v>1006518.9564850364</v>
      </c>
    </row>
    <row r="53" spans="2:18">
      <c r="B53" s="47" t="s">
        <v>40</v>
      </c>
      <c r="C53" s="48"/>
      <c r="D53" s="49" t="s">
        <v>62</v>
      </c>
      <c r="E53" s="49"/>
      <c r="F53" s="51">
        <f t="shared" ref="F53:Q53" si="29">F70*F86</f>
        <v>1786.2149988352294</v>
      </c>
      <c r="G53" s="51">
        <f t="shared" si="29"/>
        <v>2500.7009983693215</v>
      </c>
      <c r="H53" s="51">
        <f t="shared" si="29"/>
        <v>3500.9813977170493</v>
      </c>
      <c r="I53" s="51">
        <f t="shared" si="29"/>
        <v>4901.3739568038691</v>
      </c>
      <c r="J53" s="51">
        <f t="shared" si="29"/>
        <v>6861.9235395254182</v>
      </c>
      <c r="K53" s="51">
        <f t="shared" si="29"/>
        <v>9606.692955335584</v>
      </c>
      <c r="L53" s="51">
        <f t="shared" si="29"/>
        <v>13449.370137469818</v>
      </c>
      <c r="M53" s="51">
        <f t="shared" si="29"/>
        <v>18829.118192457743</v>
      </c>
      <c r="N53" s="51">
        <f t="shared" si="29"/>
        <v>26360.765469440841</v>
      </c>
      <c r="O53" s="51">
        <f t="shared" si="29"/>
        <v>36905.07165721718</v>
      </c>
      <c r="P53" s="51">
        <f t="shared" si="29"/>
        <v>51667.100320104044</v>
      </c>
      <c r="Q53" s="51">
        <f t="shared" si="29"/>
        <v>72333.940448145673</v>
      </c>
      <c r="R53" s="52">
        <f t="shared" si="27"/>
        <v>248703.25407142178</v>
      </c>
    </row>
    <row r="54" spans="2:18">
      <c r="B54" s="47" t="s">
        <v>38</v>
      </c>
      <c r="C54" s="48"/>
      <c r="D54" s="49" t="s">
        <v>62</v>
      </c>
      <c r="E54" s="49"/>
      <c r="F54" s="51">
        <f t="shared" ref="F54:Q54" si="30">F71*F87</f>
        <v>930.32031189334884</v>
      </c>
      <c r="G54" s="51">
        <f t="shared" si="30"/>
        <v>1302.4484366506883</v>
      </c>
      <c r="H54" s="51">
        <f t="shared" si="30"/>
        <v>1823.4278113109635</v>
      </c>
      <c r="I54" s="51">
        <f t="shared" si="30"/>
        <v>2552.7989358353484</v>
      </c>
      <c r="J54" s="51">
        <f t="shared" si="30"/>
        <v>3573.9185101694889</v>
      </c>
      <c r="K54" s="51">
        <f t="shared" si="30"/>
        <v>5003.4859142372834</v>
      </c>
      <c r="L54" s="51">
        <f t="shared" si="30"/>
        <v>7004.8802799321984</v>
      </c>
      <c r="M54" s="51">
        <f t="shared" si="30"/>
        <v>9806.8323919050745</v>
      </c>
      <c r="N54" s="51">
        <f t="shared" si="30"/>
        <v>13729.565348667105</v>
      </c>
      <c r="O54" s="51">
        <f t="shared" si="30"/>
        <v>19221.391488133948</v>
      </c>
      <c r="P54" s="51">
        <f t="shared" si="30"/>
        <v>26909.948083387528</v>
      </c>
      <c r="Q54" s="51">
        <f t="shared" si="30"/>
        <v>37673.927316742534</v>
      </c>
      <c r="R54" s="52">
        <f>SUM(F54:Q54)</f>
        <v>129532.94482886553</v>
      </c>
    </row>
    <row r="55" spans="2:18">
      <c r="B55" s="47" t="s">
        <v>42</v>
      </c>
      <c r="C55" s="48"/>
      <c r="D55" s="49" t="s">
        <v>62</v>
      </c>
      <c r="E55" s="49"/>
      <c r="F55" s="51">
        <f t="shared" ref="F55:Q55" si="31">F72*F88</f>
        <v>801.109157463717</v>
      </c>
      <c r="G55" s="51">
        <f t="shared" si="31"/>
        <v>1121.5528204492039</v>
      </c>
      <c r="H55" s="51">
        <f t="shared" si="31"/>
        <v>1570.1739486288852</v>
      </c>
      <c r="I55" s="51">
        <f t="shared" si="31"/>
        <v>2198.2435280804389</v>
      </c>
      <c r="J55" s="51">
        <f t="shared" si="31"/>
        <v>3077.5409393126156</v>
      </c>
      <c r="K55" s="51">
        <f t="shared" si="31"/>
        <v>4308.5573150376604</v>
      </c>
      <c r="L55" s="51">
        <f t="shared" si="31"/>
        <v>6031.9802410527263</v>
      </c>
      <c r="M55" s="51">
        <f t="shared" si="31"/>
        <v>8444.7723374738143</v>
      </c>
      <c r="N55" s="51">
        <f t="shared" si="31"/>
        <v>11822.68127246334</v>
      </c>
      <c r="O55" s="51">
        <f t="shared" si="31"/>
        <v>16551.753781448679</v>
      </c>
      <c r="P55" s="51">
        <f t="shared" si="31"/>
        <v>23172.455294028146</v>
      </c>
      <c r="Q55" s="51">
        <f t="shared" si="31"/>
        <v>32441.437411639403</v>
      </c>
      <c r="R55" s="52">
        <f t="shared" si="27"/>
        <v>111542.25804707863</v>
      </c>
    </row>
    <row r="56" spans="2:18">
      <c r="B56" s="47" t="s">
        <v>56</v>
      </c>
      <c r="C56" s="48"/>
      <c r="D56" s="49" t="s">
        <v>62</v>
      </c>
      <c r="E56" s="49"/>
      <c r="F56" s="51">
        <f t="shared" ref="F56:Q56" si="32">F73*F89</f>
        <v>1292.1115442963178</v>
      </c>
      <c r="G56" s="51">
        <f t="shared" si="32"/>
        <v>1808.9561620148447</v>
      </c>
      <c r="H56" s="51">
        <f t="shared" si="32"/>
        <v>2532.5386268207826</v>
      </c>
      <c r="I56" s="51">
        <f t="shared" si="32"/>
        <v>3545.5540775490954</v>
      </c>
      <c r="J56" s="51">
        <f t="shared" si="32"/>
        <v>4963.7757085687344</v>
      </c>
      <c r="K56" s="51">
        <f t="shared" si="32"/>
        <v>6949.2859919962275</v>
      </c>
      <c r="L56" s="51">
        <f t="shared" si="32"/>
        <v>9729.0003887947187</v>
      </c>
      <c r="M56" s="51">
        <f t="shared" si="32"/>
        <v>13620.600544312603</v>
      </c>
      <c r="N56" s="51">
        <f t="shared" si="32"/>
        <v>19068.840762037646</v>
      </c>
      <c r="O56" s="51">
        <f t="shared" si="32"/>
        <v>26696.377066852703</v>
      </c>
      <c r="P56" s="51">
        <f t="shared" si="32"/>
        <v>37374.927893593784</v>
      </c>
      <c r="Q56" s="51">
        <f t="shared" si="32"/>
        <v>52324.899051031301</v>
      </c>
      <c r="R56" s="52">
        <f t="shared" si="27"/>
        <v>179906.86781786877</v>
      </c>
    </row>
    <row r="57" spans="2:18">
      <c r="B57" s="47" t="s">
        <v>58</v>
      </c>
      <c r="C57" s="48"/>
      <c r="D57" s="49" t="s">
        <v>57</v>
      </c>
      <c r="E57" s="49"/>
      <c r="F57" s="51">
        <f t="shared" ref="F57:Q57" si="33">F74*F90</f>
        <v>2032.9221630262061</v>
      </c>
      <c r="G57" s="51">
        <f t="shared" si="33"/>
        <v>2846.091028236689</v>
      </c>
      <c r="H57" s="51">
        <f t="shared" si="33"/>
        <v>3984.5274395313645</v>
      </c>
      <c r="I57" s="51">
        <f t="shared" si="33"/>
        <v>5578.3384153439092</v>
      </c>
      <c r="J57" s="51">
        <f t="shared" si="33"/>
        <v>7809.6737814814751</v>
      </c>
      <c r="K57" s="51">
        <f t="shared" si="33"/>
        <v>10933.543294074063</v>
      </c>
      <c r="L57" s="51">
        <f t="shared" si="33"/>
        <v>15306.960611703689</v>
      </c>
      <c r="M57" s="51">
        <f t="shared" si="33"/>
        <v>21429.744856385161</v>
      </c>
      <c r="N57" s="51">
        <f t="shared" si="33"/>
        <v>30001.642798939229</v>
      </c>
      <c r="O57" s="51">
        <f t="shared" si="33"/>
        <v>42002.299918514916</v>
      </c>
      <c r="P57" s="51">
        <f t="shared" si="33"/>
        <v>58803.219885920887</v>
      </c>
      <c r="Q57" s="51">
        <f t="shared" si="33"/>
        <v>82324.50784028924</v>
      </c>
      <c r="R57" s="52">
        <f t="shared" si="27"/>
        <v>283053.47203344677</v>
      </c>
    </row>
    <row r="58" spans="2:18">
      <c r="B58" s="47" t="s">
        <v>59</v>
      </c>
      <c r="C58" s="48"/>
      <c r="D58" s="49" t="s">
        <v>57</v>
      </c>
      <c r="E58" s="49"/>
      <c r="F58" s="51">
        <f t="shared" ref="F58:Q58" si="34">F75*F91</f>
        <v>2618.6793964405369</v>
      </c>
      <c r="G58" s="51">
        <f t="shared" si="34"/>
        <v>3666.151155016752</v>
      </c>
      <c r="H58" s="51">
        <f t="shared" si="34"/>
        <v>5132.6116170234527</v>
      </c>
      <c r="I58" s="51">
        <f t="shared" si="34"/>
        <v>7185.6562638328332</v>
      </c>
      <c r="J58" s="51">
        <f t="shared" si="34"/>
        <v>10059.91876936597</v>
      </c>
      <c r="K58" s="51">
        <f t="shared" si="34"/>
        <v>14083.886277112355</v>
      </c>
      <c r="L58" s="51">
        <f t="shared" si="34"/>
        <v>19717.440787957297</v>
      </c>
      <c r="M58" s="51">
        <f t="shared" si="34"/>
        <v>27604.417103140211</v>
      </c>
      <c r="N58" s="51">
        <f t="shared" si="34"/>
        <v>38646.183944396296</v>
      </c>
      <c r="O58" s="51">
        <f t="shared" si="34"/>
        <v>54104.657522154819</v>
      </c>
      <c r="P58" s="51">
        <f t="shared" si="34"/>
        <v>75746.520531016737</v>
      </c>
      <c r="Q58" s="51">
        <f t="shared" si="34"/>
        <v>106045.12874342344</v>
      </c>
      <c r="R58" s="52">
        <f t="shared" si="27"/>
        <v>364611.25211088068</v>
      </c>
    </row>
    <row r="59" spans="2:18">
      <c r="B59" s="47" t="s">
        <v>60</v>
      </c>
      <c r="C59" s="48"/>
      <c r="D59" s="49" t="s">
        <v>57</v>
      </c>
      <c r="E59" s="49"/>
      <c r="F59" s="51">
        <f t="shared" ref="F59:Q59" si="35">F76*F92</f>
        <v>289.43298592237511</v>
      </c>
      <c r="G59" s="51">
        <f t="shared" si="35"/>
        <v>405.20618029132521</v>
      </c>
      <c r="H59" s="51">
        <f t="shared" si="35"/>
        <v>567.28865240785535</v>
      </c>
      <c r="I59" s="51">
        <f t="shared" si="35"/>
        <v>794.20411337099733</v>
      </c>
      <c r="J59" s="51">
        <f t="shared" si="35"/>
        <v>1111.8857587193966</v>
      </c>
      <c r="K59" s="51">
        <f t="shared" si="35"/>
        <v>1556.6400622071549</v>
      </c>
      <c r="L59" s="51">
        <f t="shared" si="35"/>
        <v>2179.296087090017</v>
      </c>
      <c r="M59" s="51">
        <f t="shared" si="35"/>
        <v>3051.014521926023</v>
      </c>
      <c r="N59" s="51">
        <f t="shared" si="35"/>
        <v>4271.4203306964328</v>
      </c>
      <c r="O59" s="51">
        <f t="shared" si="35"/>
        <v>5979.9884629750059</v>
      </c>
      <c r="P59" s="51">
        <f t="shared" si="35"/>
        <v>8371.9838481650077</v>
      </c>
      <c r="Q59" s="51">
        <f t="shared" si="35"/>
        <v>11720.777387431011</v>
      </c>
      <c r="R59" s="52">
        <f t="shared" si="27"/>
        <v>40299.138391202607</v>
      </c>
    </row>
    <row r="60" spans="2:18">
      <c r="B60" s="47" t="s">
        <v>61</v>
      </c>
      <c r="C60" s="48"/>
      <c r="D60" s="49" t="s">
        <v>57</v>
      </c>
      <c r="E60" s="49"/>
      <c r="F60" s="51">
        <f t="shared" ref="F60:Q60" si="36">F77*F93</f>
        <v>2170.7473944178137</v>
      </c>
      <c r="G60" s="51">
        <f t="shared" si="36"/>
        <v>3039.0463521849392</v>
      </c>
      <c r="H60" s="51">
        <f t="shared" si="36"/>
        <v>4254.6648930589145</v>
      </c>
      <c r="I60" s="51">
        <f t="shared" si="36"/>
        <v>5956.5308502824801</v>
      </c>
      <c r="J60" s="51">
        <f t="shared" si="36"/>
        <v>8339.1431903954744</v>
      </c>
      <c r="K60" s="51">
        <f t="shared" si="36"/>
        <v>11674.800466553661</v>
      </c>
      <c r="L60" s="51">
        <f t="shared" si="36"/>
        <v>16344.720653175127</v>
      </c>
      <c r="M60" s="51">
        <f t="shared" si="36"/>
        <v>22882.608914445173</v>
      </c>
      <c r="N60" s="51">
        <f t="shared" si="36"/>
        <v>32035.652480223245</v>
      </c>
      <c r="O60" s="51">
        <f t="shared" si="36"/>
        <v>44849.913472312546</v>
      </c>
      <c r="P60" s="51">
        <f t="shared" si="36"/>
        <v>62789.878861237557</v>
      </c>
      <c r="Q60" s="51">
        <f t="shared" si="36"/>
        <v>87905.830405732588</v>
      </c>
      <c r="R60" s="52">
        <f t="shared" si="27"/>
        <v>302243.53793401946</v>
      </c>
    </row>
    <row r="61" spans="2:18">
      <c r="B61" s="47" t="s">
        <v>18</v>
      </c>
      <c r="C61" s="48"/>
      <c r="D61" s="49"/>
      <c r="E61" s="49"/>
      <c r="F61" s="51">
        <f t="shared" ref="F61:Q61" si="37">F78*F94</f>
        <v>0</v>
      </c>
      <c r="G61" s="51">
        <f t="shared" si="37"/>
        <v>0</v>
      </c>
      <c r="H61" s="51">
        <f t="shared" si="37"/>
        <v>0</v>
      </c>
      <c r="I61" s="51">
        <f t="shared" si="37"/>
        <v>0</v>
      </c>
      <c r="J61" s="51">
        <f t="shared" si="37"/>
        <v>0</v>
      </c>
      <c r="K61" s="51">
        <f t="shared" si="37"/>
        <v>0</v>
      </c>
      <c r="L61" s="51">
        <f t="shared" si="37"/>
        <v>0</v>
      </c>
      <c r="M61" s="51">
        <f t="shared" si="37"/>
        <v>0</v>
      </c>
      <c r="N61" s="51">
        <f t="shared" si="37"/>
        <v>0</v>
      </c>
      <c r="O61" s="51">
        <f t="shared" si="37"/>
        <v>0</v>
      </c>
      <c r="P61" s="51">
        <f t="shared" si="37"/>
        <v>0</v>
      </c>
      <c r="Q61" s="51">
        <f t="shared" si="37"/>
        <v>0</v>
      </c>
      <c r="R61" s="52">
        <f t="shared" si="27"/>
        <v>0</v>
      </c>
    </row>
    <row r="62" spans="2:18" ht="6.75" customHeight="1">
      <c r="B62" s="47"/>
      <c r="C62" s="48"/>
      <c r="D62" s="49"/>
      <c r="E62" s="49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53"/>
    </row>
    <row r="63" spans="2:18">
      <c r="B63" s="47" t="s">
        <v>43</v>
      </c>
      <c r="C63" s="48"/>
      <c r="D63" s="49"/>
      <c r="E63" s="49"/>
      <c r="F63" s="51">
        <f>SUM(F51:F61)</f>
        <v>23078.49043344615</v>
      </c>
      <c r="G63" s="51">
        <f t="shared" ref="G63:R63" si="38">SUM(G51:G61)</f>
        <v>32309.88660682461</v>
      </c>
      <c r="H63" s="51">
        <f t="shared" si="38"/>
        <v>45233.841249554454</v>
      </c>
      <c r="I63" s="51">
        <f t="shared" si="38"/>
        <v>63327.377749376239</v>
      </c>
      <c r="J63" s="51">
        <f t="shared" si="38"/>
        <v>88658.32884912673</v>
      </c>
      <c r="K63" s="51">
        <f t="shared" si="38"/>
        <v>124121.6603887774</v>
      </c>
      <c r="L63" s="51">
        <f t="shared" si="38"/>
        <v>173770.32454428839</v>
      </c>
      <c r="M63" s="51">
        <f t="shared" si="38"/>
        <v>243278.45436200371</v>
      </c>
      <c r="N63" s="51">
        <f t="shared" si="38"/>
        <v>340589.83610680525</v>
      </c>
      <c r="O63" s="51">
        <f t="shared" si="38"/>
        <v>476825.77054952731</v>
      </c>
      <c r="P63" s="51">
        <f t="shared" si="38"/>
        <v>667556.07876933808</v>
      </c>
      <c r="Q63" s="51">
        <f t="shared" si="38"/>
        <v>934578.51027707348</v>
      </c>
      <c r="R63" s="52">
        <f t="shared" si="38"/>
        <v>3213328.5598861417</v>
      </c>
    </row>
    <row r="64" spans="2:18">
      <c r="B64" s="47"/>
      <c r="C64" s="48"/>
      <c r="D64" s="49"/>
      <c r="E64" s="49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2"/>
    </row>
    <row r="65" spans="2:18">
      <c r="B65" s="54" t="s">
        <v>45</v>
      </c>
      <c r="C65" s="55"/>
      <c r="D65" s="56"/>
      <c r="E65" s="56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 t="s">
        <v>24</v>
      </c>
      <c r="R65" s="57"/>
    </row>
    <row r="66" spans="2:18">
      <c r="B66" s="42"/>
      <c r="C66" s="43"/>
      <c r="D66" s="44"/>
      <c r="E66" s="44"/>
      <c r="F66" s="45">
        <v>41456</v>
      </c>
      <c r="G66" s="45">
        <v>41487</v>
      </c>
      <c r="H66" s="45">
        <v>41518</v>
      </c>
      <c r="I66" s="45">
        <v>41548</v>
      </c>
      <c r="J66" s="45">
        <v>41579</v>
      </c>
      <c r="K66" s="45">
        <v>41609</v>
      </c>
      <c r="L66" s="45">
        <v>41640</v>
      </c>
      <c r="M66" s="45">
        <v>41671</v>
      </c>
      <c r="N66" s="45">
        <v>41699</v>
      </c>
      <c r="O66" s="45">
        <v>41730</v>
      </c>
      <c r="P66" s="45">
        <v>41760</v>
      </c>
      <c r="Q66" s="45">
        <v>41791</v>
      </c>
      <c r="R66" s="46"/>
    </row>
    <row r="67" spans="2:18" ht="3.75" customHeight="1">
      <c r="B67" s="47"/>
      <c r="C67" s="48"/>
      <c r="D67" s="49"/>
      <c r="E67" s="49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50"/>
    </row>
    <row r="68" spans="2:18">
      <c r="B68" s="47" t="s">
        <v>39</v>
      </c>
      <c r="C68" s="48"/>
      <c r="D68" s="49" t="s">
        <v>54</v>
      </c>
      <c r="E68" s="49"/>
      <c r="F68" s="809">
        <f>'App 3_Service Fee Ref.'!N15</f>
        <v>3.1666666666666665</v>
      </c>
      <c r="G68" s="809">
        <f>F68</f>
        <v>3.1666666666666665</v>
      </c>
      <c r="H68" s="809">
        <f t="shared" ref="H68:Q68" si="39">G68</f>
        <v>3.1666666666666665</v>
      </c>
      <c r="I68" s="809">
        <f t="shared" si="39"/>
        <v>3.1666666666666665</v>
      </c>
      <c r="J68" s="809">
        <f t="shared" si="39"/>
        <v>3.1666666666666665</v>
      </c>
      <c r="K68" s="809">
        <f t="shared" si="39"/>
        <v>3.1666666666666665</v>
      </c>
      <c r="L68" s="809">
        <f t="shared" si="39"/>
        <v>3.1666666666666665</v>
      </c>
      <c r="M68" s="809">
        <f t="shared" si="39"/>
        <v>3.1666666666666665</v>
      </c>
      <c r="N68" s="809">
        <f t="shared" si="39"/>
        <v>3.1666666666666665</v>
      </c>
      <c r="O68" s="809">
        <f t="shared" si="39"/>
        <v>3.1666666666666665</v>
      </c>
      <c r="P68" s="809">
        <f t="shared" si="39"/>
        <v>3.1666666666666665</v>
      </c>
      <c r="Q68" s="809">
        <f t="shared" si="39"/>
        <v>3.1666666666666665</v>
      </c>
      <c r="R68" s="59"/>
    </row>
    <row r="69" spans="2:18">
      <c r="B69" s="47" t="s">
        <v>41</v>
      </c>
      <c r="C69" s="48"/>
      <c r="D69" s="49" t="s">
        <v>54</v>
      </c>
      <c r="E69" s="49"/>
      <c r="F69" s="809">
        <f>'App 3_Service Fee Ref.'!N16</f>
        <v>4.3708333333333336</v>
      </c>
      <c r="G69" s="809">
        <f t="shared" ref="G69:Q78" si="40">F69</f>
        <v>4.3708333333333336</v>
      </c>
      <c r="H69" s="809">
        <f t="shared" si="40"/>
        <v>4.3708333333333336</v>
      </c>
      <c r="I69" s="809">
        <f t="shared" si="40"/>
        <v>4.3708333333333336</v>
      </c>
      <c r="J69" s="809">
        <f t="shared" si="40"/>
        <v>4.3708333333333336</v>
      </c>
      <c r="K69" s="809">
        <f t="shared" si="40"/>
        <v>4.3708333333333336</v>
      </c>
      <c r="L69" s="809">
        <f t="shared" si="40"/>
        <v>4.3708333333333336</v>
      </c>
      <c r="M69" s="809">
        <f t="shared" si="40"/>
        <v>4.3708333333333336</v>
      </c>
      <c r="N69" s="809">
        <f t="shared" si="40"/>
        <v>4.3708333333333336</v>
      </c>
      <c r="O69" s="809">
        <f t="shared" si="40"/>
        <v>4.3708333333333336</v>
      </c>
      <c r="P69" s="809">
        <f t="shared" si="40"/>
        <v>4.3708333333333336</v>
      </c>
      <c r="Q69" s="809">
        <f t="shared" si="40"/>
        <v>4.3708333333333336</v>
      </c>
      <c r="R69" s="59"/>
    </row>
    <row r="70" spans="2:18">
      <c r="B70" s="47" t="s">
        <v>40</v>
      </c>
      <c r="C70" s="48"/>
      <c r="D70" s="49" t="s">
        <v>62</v>
      </c>
      <c r="E70" s="49"/>
      <c r="F70" s="809">
        <f>'App 3_Service Fee Ref.'!N17</f>
        <v>7.2</v>
      </c>
      <c r="G70" s="809">
        <f t="shared" si="40"/>
        <v>7.2</v>
      </c>
      <c r="H70" s="809">
        <f t="shared" si="40"/>
        <v>7.2</v>
      </c>
      <c r="I70" s="809">
        <f t="shared" si="40"/>
        <v>7.2</v>
      </c>
      <c r="J70" s="809">
        <f t="shared" si="40"/>
        <v>7.2</v>
      </c>
      <c r="K70" s="809">
        <f t="shared" si="40"/>
        <v>7.2</v>
      </c>
      <c r="L70" s="809">
        <f t="shared" si="40"/>
        <v>7.2</v>
      </c>
      <c r="M70" s="809">
        <f t="shared" si="40"/>
        <v>7.2</v>
      </c>
      <c r="N70" s="809">
        <f t="shared" si="40"/>
        <v>7.2</v>
      </c>
      <c r="O70" s="809">
        <f t="shared" si="40"/>
        <v>7.2</v>
      </c>
      <c r="P70" s="809">
        <f t="shared" si="40"/>
        <v>7.2</v>
      </c>
      <c r="Q70" s="809">
        <f t="shared" si="40"/>
        <v>7.2</v>
      </c>
      <c r="R70" s="59"/>
    </row>
    <row r="71" spans="2:18">
      <c r="B71" s="47" t="s">
        <v>38</v>
      </c>
      <c r="C71" s="48"/>
      <c r="D71" s="49" t="s">
        <v>62</v>
      </c>
      <c r="E71" s="49"/>
      <c r="F71" s="809">
        <f>'App 3_Service Fee Ref.'!N18</f>
        <v>4.5</v>
      </c>
      <c r="G71" s="809">
        <f t="shared" si="40"/>
        <v>4.5</v>
      </c>
      <c r="H71" s="809">
        <f t="shared" si="40"/>
        <v>4.5</v>
      </c>
      <c r="I71" s="809">
        <f t="shared" si="40"/>
        <v>4.5</v>
      </c>
      <c r="J71" s="809">
        <f t="shared" si="40"/>
        <v>4.5</v>
      </c>
      <c r="K71" s="809">
        <f t="shared" si="40"/>
        <v>4.5</v>
      </c>
      <c r="L71" s="809">
        <f t="shared" si="40"/>
        <v>4.5</v>
      </c>
      <c r="M71" s="809">
        <f t="shared" si="40"/>
        <v>4.5</v>
      </c>
      <c r="N71" s="809">
        <f t="shared" si="40"/>
        <v>4.5</v>
      </c>
      <c r="O71" s="809">
        <f t="shared" si="40"/>
        <v>4.5</v>
      </c>
      <c r="P71" s="809">
        <f t="shared" si="40"/>
        <v>4.5</v>
      </c>
      <c r="Q71" s="809">
        <f t="shared" si="40"/>
        <v>4.5</v>
      </c>
      <c r="R71" s="59"/>
    </row>
    <row r="72" spans="2:18">
      <c r="B72" s="47" t="s">
        <v>42</v>
      </c>
      <c r="C72" s="48"/>
      <c r="D72" s="49" t="s">
        <v>62</v>
      </c>
      <c r="E72" s="49"/>
      <c r="F72" s="809">
        <f>'App 3_Service Fee Ref.'!N19</f>
        <v>3.875</v>
      </c>
      <c r="G72" s="809">
        <f t="shared" si="40"/>
        <v>3.875</v>
      </c>
      <c r="H72" s="809">
        <f t="shared" si="40"/>
        <v>3.875</v>
      </c>
      <c r="I72" s="809">
        <f t="shared" si="40"/>
        <v>3.875</v>
      </c>
      <c r="J72" s="809">
        <f t="shared" si="40"/>
        <v>3.875</v>
      </c>
      <c r="K72" s="809">
        <f t="shared" si="40"/>
        <v>3.875</v>
      </c>
      <c r="L72" s="809">
        <f t="shared" si="40"/>
        <v>3.875</v>
      </c>
      <c r="M72" s="809">
        <f t="shared" si="40"/>
        <v>3.875</v>
      </c>
      <c r="N72" s="809">
        <f t="shared" si="40"/>
        <v>3.875</v>
      </c>
      <c r="O72" s="809">
        <f t="shared" si="40"/>
        <v>3.875</v>
      </c>
      <c r="P72" s="809">
        <f t="shared" si="40"/>
        <v>3.875</v>
      </c>
      <c r="Q72" s="809">
        <f t="shared" si="40"/>
        <v>3.875</v>
      </c>
      <c r="R72" s="59"/>
    </row>
    <row r="73" spans="2:18">
      <c r="B73" s="47" t="s">
        <v>56</v>
      </c>
      <c r="C73" s="48"/>
      <c r="D73" s="49" t="s">
        <v>62</v>
      </c>
      <c r="E73" s="49"/>
      <c r="F73" s="809">
        <f>'App 3_Service Fee Ref.'!N20</f>
        <v>6.25</v>
      </c>
      <c r="G73" s="809">
        <f t="shared" si="40"/>
        <v>6.25</v>
      </c>
      <c r="H73" s="809">
        <f t="shared" si="40"/>
        <v>6.25</v>
      </c>
      <c r="I73" s="809">
        <f t="shared" si="40"/>
        <v>6.25</v>
      </c>
      <c r="J73" s="809">
        <f t="shared" si="40"/>
        <v>6.25</v>
      </c>
      <c r="K73" s="809">
        <f t="shared" si="40"/>
        <v>6.25</v>
      </c>
      <c r="L73" s="809">
        <f t="shared" si="40"/>
        <v>6.25</v>
      </c>
      <c r="M73" s="809">
        <f t="shared" si="40"/>
        <v>6.25</v>
      </c>
      <c r="N73" s="809">
        <f t="shared" si="40"/>
        <v>6.25</v>
      </c>
      <c r="O73" s="809">
        <f t="shared" si="40"/>
        <v>6.25</v>
      </c>
      <c r="P73" s="809">
        <f t="shared" si="40"/>
        <v>6.25</v>
      </c>
      <c r="Q73" s="809">
        <f t="shared" si="40"/>
        <v>6.25</v>
      </c>
      <c r="R73" s="59"/>
    </row>
    <row r="74" spans="2:18">
      <c r="B74" s="47" t="s">
        <v>58</v>
      </c>
      <c r="C74" s="48"/>
      <c r="D74" s="49" t="s">
        <v>57</v>
      </c>
      <c r="E74" s="49"/>
      <c r="F74" s="809">
        <f>'App 3_Service Fee Ref.'!N21</f>
        <v>49.166666666666664</v>
      </c>
      <c r="G74" s="809">
        <f t="shared" si="40"/>
        <v>49.166666666666664</v>
      </c>
      <c r="H74" s="809">
        <f t="shared" si="40"/>
        <v>49.166666666666664</v>
      </c>
      <c r="I74" s="809">
        <f t="shared" si="40"/>
        <v>49.166666666666664</v>
      </c>
      <c r="J74" s="809">
        <f t="shared" si="40"/>
        <v>49.166666666666664</v>
      </c>
      <c r="K74" s="809">
        <f t="shared" si="40"/>
        <v>49.166666666666664</v>
      </c>
      <c r="L74" s="809">
        <f t="shared" si="40"/>
        <v>49.166666666666664</v>
      </c>
      <c r="M74" s="809">
        <f t="shared" si="40"/>
        <v>49.166666666666664</v>
      </c>
      <c r="N74" s="809">
        <f t="shared" si="40"/>
        <v>49.166666666666664</v>
      </c>
      <c r="O74" s="809">
        <f t="shared" si="40"/>
        <v>49.166666666666664</v>
      </c>
      <c r="P74" s="809">
        <f t="shared" si="40"/>
        <v>49.166666666666664</v>
      </c>
      <c r="Q74" s="809">
        <f t="shared" si="40"/>
        <v>49.166666666666664</v>
      </c>
      <c r="R74" s="59"/>
    </row>
    <row r="75" spans="2:18">
      <c r="B75" s="47" t="s">
        <v>59</v>
      </c>
      <c r="C75" s="48"/>
      <c r="D75" s="49" t="s">
        <v>57</v>
      </c>
      <c r="E75" s="49"/>
      <c r="F75" s="809">
        <f>'App 3_Service Fee Ref.'!N22</f>
        <v>63.333333333333336</v>
      </c>
      <c r="G75" s="809">
        <f t="shared" si="40"/>
        <v>63.333333333333336</v>
      </c>
      <c r="H75" s="809">
        <f t="shared" si="40"/>
        <v>63.333333333333336</v>
      </c>
      <c r="I75" s="809">
        <f t="shared" si="40"/>
        <v>63.333333333333336</v>
      </c>
      <c r="J75" s="809">
        <f t="shared" si="40"/>
        <v>63.333333333333336</v>
      </c>
      <c r="K75" s="809">
        <f t="shared" si="40"/>
        <v>63.333333333333336</v>
      </c>
      <c r="L75" s="809">
        <f t="shared" si="40"/>
        <v>63.333333333333336</v>
      </c>
      <c r="M75" s="809">
        <f t="shared" si="40"/>
        <v>63.333333333333336</v>
      </c>
      <c r="N75" s="809">
        <f t="shared" si="40"/>
        <v>63.333333333333336</v>
      </c>
      <c r="O75" s="809">
        <f t="shared" si="40"/>
        <v>63.333333333333336</v>
      </c>
      <c r="P75" s="809">
        <f t="shared" si="40"/>
        <v>63.333333333333336</v>
      </c>
      <c r="Q75" s="809">
        <f t="shared" si="40"/>
        <v>63.333333333333336</v>
      </c>
      <c r="R75" s="59"/>
    </row>
    <row r="76" spans="2:18">
      <c r="B76" s="47" t="s">
        <v>60</v>
      </c>
      <c r="C76" s="48"/>
      <c r="D76" s="49" t="s">
        <v>57</v>
      </c>
      <c r="E76" s="49"/>
      <c r="F76" s="809">
        <f>'App 3_Service Fee Ref.'!N23</f>
        <v>7</v>
      </c>
      <c r="G76" s="809">
        <f t="shared" si="40"/>
        <v>7</v>
      </c>
      <c r="H76" s="809">
        <f t="shared" si="40"/>
        <v>7</v>
      </c>
      <c r="I76" s="809">
        <f t="shared" si="40"/>
        <v>7</v>
      </c>
      <c r="J76" s="809">
        <f t="shared" si="40"/>
        <v>7</v>
      </c>
      <c r="K76" s="809">
        <f t="shared" si="40"/>
        <v>7</v>
      </c>
      <c r="L76" s="809">
        <f t="shared" si="40"/>
        <v>7</v>
      </c>
      <c r="M76" s="809">
        <f t="shared" si="40"/>
        <v>7</v>
      </c>
      <c r="N76" s="809">
        <f t="shared" si="40"/>
        <v>7</v>
      </c>
      <c r="O76" s="809">
        <f t="shared" si="40"/>
        <v>7</v>
      </c>
      <c r="P76" s="809">
        <f t="shared" si="40"/>
        <v>7</v>
      </c>
      <c r="Q76" s="809">
        <f t="shared" si="40"/>
        <v>7</v>
      </c>
      <c r="R76" s="59"/>
    </row>
    <row r="77" spans="2:18">
      <c r="B77" s="47" t="s">
        <v>61</v>
      </c>
      <c r="C77" s="48"/>
      <c r="D77" s="49" t="s">
        <v>57</v>
      </c>
      <c r="E77" s="49"/>
      <c r="F77" s="809">
        <f>'App 3_Service Fee Ref.'!N24</f>
        <v>52.5</v>
      </c>
      <c r="G77" s="809">
        <f t="shared" si="40"/>
        <v>52.5</v>
      </c>
      <c r="H77" s="809">
        <f t="shared" si="40"/>
        <v>52.5</v>
      </c>
      <c r="I77" s="809">
        <f t="shared" si="40"/>
        <v>52.5</v>
      </c>
      <c r="J77" s="809">
        <f t="shared" si="40"/>
        <v>52.5</v>
      </c>
      <c r="K77" s="809">
        <f t="shared" si="40"/>
        <v>52.5</v>
      </c>
      <c r="L77" s="809">
        <f t="shared" si="40"/>
        <v>52.5</v>
      </c>
      <c r="M77" s="809">
        <f t="shared" si="40"/>
        <v>52.5</v>
      </c>
      <c r="N77" s="809">
        <f t="shared" si="40"/>
        <v>52.5</v>
      </c>
      <c r="O77" s="809">
        <f t="shared" si="40"/>
        <v>52.5</v>
      </c>
      <c r="P77" s="809">
        <f t="shared" si="40"/>
        <v>52.5</v>
      </c>
      <c r="Q77" s="809">
        <f t="shared" si="40"/>
        <v>52.5</v>
      </c>
      <c r="R77" s="59"/>
    </row>
    <row r="78" spans="2:18">
      <c r="B78" s="47" t="s">
        <v>18</v>
      </c>
      <c r="C78" s="48"/>
      <c r="D78" s="49"/>
      <c r="E78" s="49"/>
      <c r="F78" s="809">
        <f>'App 3_Service Fee Ref.'!N25</f>
        <v>0</v>
      </c>
      <c r="G78" s="809">
        <f t="shared" si="40"/>
        <v>0</v>
      </c>
      <c r="H78" s="809">
        <f t="shared" si="40"/>
        <v>0</v>
      </c>
      <c r="I78" s="809">
        <f t="shared" si="40"/>
        <v>0</v>
      </c>
      <c r="J78" s="809">
        <f t="shared" si="40"/>
        <v>0</v>
      </c>
      <c r="K78" s="809">
        <f t="shared" si="40"/>
        <v>0</v>
      </c>
      <c r="L78" s="809">
        <f t="shared" si="40"/>
        <v>0</v>
      </c>
      <c r="M78" s="809">
        <f t="shared" si="40"/>
        <v>0</v>
      </c>
      <c r="N78" s="809">
        <f t="shared" si="40"/>
        <v>0</v>
      </c>
      <c r="O78" s="809">
        <f t="shared" si="40"/>
        <v>0</v>
      </c>
      <c r="P78" s="809">
        <f t="shared" si="40"/>
        <v>0</v>
      </c>
      <c r="Q78" s="809">
        <f t="shared" si="40"/>
        <v>0</v>
      </c>
      <c r="R78" s="59"/>
    </row>
    <row r="79" spans="2:18">
      <c r="B79" s="47"/>
      <c r="C79" s="48"/>
      <c r="D79" s="49"/>
      <c r="E79" s="49"/>
      <c r="F79" s="58"/>
      <c r="G79" s="58"/>
      <c r="H79" s="58"/>
      <c r="I79" s="58"/>
      <c r="J79" s="58"/>
      <c r="K79" s="58"/>
      <c r="L79" s="58"/>
      <c r="M79" s="58"/>
      <c r="N79" s="58"/>
      <c r="O79" s="58"/>
      <c r="P79" s="58"/>
      <c r="Q79" s="58"/>
      <c r="R79" s="59"/>
    </row>
    <row r="80" spans="2:18">
      <c r="B80" s="47"/>
      <c r="C80" s="48"/>
      <c r="D80" s="49"/>
      <c r="E80" s="49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53"/>
    </row>
    <row r="81" spans="2:18">
      <c r="B81" s="54" t="s">
        <v>46</v>
      </c>
      <c r="C81" s="55"/>
      <c r="D81" s="56"/>
      <c r="E81" s="56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 t="s">
        <v>25</v>
      </c>
      <c r="R81" s="57"/>
    </row>
    <row r="82" spans="2:18">
      <c r="B82" s="42"/>
      <c r="C82" s="43"/>
      <c r="D82" s="44"/>
      <c r="E82" s="44"/>
      <c r="F82" s="45">
        <v>41456</v>
      </c>
      <c r="G82" s="45">
        <v>41487</v>
      </c>
      <c r="H82" s="45">
        <v>41518</v>
      </c>
      <c r="I82" s="45">
        <v>41548</v>
      </c>
      <c r="J82" s="45">
        <v>41579</v>
      </c>
      <c r="K82" s="45">
        <v>41609</v>
      </c>
      <c r="L82" s="45">
        <v>41640</v>
      </c>
      <c r="M82" s="45">
        <v>41671</v>
      </c>
      <c r="N82" s="45">
        <v>41699</v>
      </c>
      <c r="O82" s="45">
        <v>41730</v>
      </c>
      <c r="P82" s="45">
        <v>41760</v>
      </c>
      <c r="Q82" s="45">
        <v>41791</v>
      </c>
      <c r="R82" s="46" t="s">
        <v>20</v>
      </c>
    </row>
    <row r="83" spans="2:18" ht="4.5" customHeight="1">
      <c r="B83" s="47"/>
      <c r="C83" s="48"/>
      <c r="D83" s="49"/>
      <c r="E83" s="49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50"/>
    </row>
    <row r="84" spans="2:18">
      <c r="B84" s="47" t="s">
        <v>39</v>
      </c>
      <c r="C84" s="48"/>
      <c r="D84" s="49" t="s">
        <v>54</v>
      </c>
      <c r="E84" s="99">
        <v>0.3</v>
      </c>
      <c r="F84" s="51">
        <f>F$38*$E84</f>
        <v>1240.4270825244648</v>
      </c>
      <c r="G84" s="51">
        <f t="shared" ref="G84:Q84" si="41">G$38*$E84</f>
        <v>1736.5979155342509</v>
      </c>
      <c r="H84" s="51">
        <f t="shared" si="41"/>
        <v>2431.2370817479509</v>
      </c>
      <c r="I84" s="51">
        <f t="shared" si="41"/>
        <v>3403.7319144471317</v>
      </c>
      <c r="J84" s="51">
        <f t="shared" si="41"/>
        <v>4765.2246802259851</v>
      </c>
      <c r="K84" s="51">
        <f t="shared" si="41"/>
        <v>6671.3145523163776</v>
      </c>
      <c r="L84" s="51">
        <f t="shared" si="41"/>
        <v>9339.8403732429288</v>
      </c>
      <c r="M84" s="51">
        <f t="shared" si="41"/>
        <v>13075.7765225401</v>
      </c>
      <c r="N84" s="51">
        <f t="shared" si="41"/>
        <v>18306.087131556138</v>
      </c>
      <c r="O84" s="51">
        <f t="shared" si="41"/>
        <v>25628.521984178598</v>
      </c>
      <c r="P84" s="51">
        <f t="shared" si="41"/>
        <v>35879.93077785003</v>
      </c>
      <c r="Q84" s="51">
        <f t="shared" si="41"/>
        <v>50231.903088990046</v>
      </c>
      <c r="R84" s="52">
        <f>SUM(F84:Q84)</f>
        <v>172710.593105154</v>
      </c>
    </row>
    <row r="85" spans="2:18">
      <c r="B85" s="47" t="s">
        <v>41</v>
      </c>
      <c r="C85" s="48"/>
      <c r="D85" s="49" t="s">
        <v>54</v>
      </c>
      <c r="E85" s="99">
        <v>0.4</v>
      </c>
      <c r="F85" s="51">
        <f t="shared" ref="F85:Q94" si="42">F$38*$E85</f>
        <v>1653.9027766992867</v>
      </c>
      <c r="G85" s="51">
        <f t="shared" si="42"/>
        <v>2315.4638873790013</v>
      </c>
      <c r="H85" s="51">
        <f t="shared" si="42"/>
        <v>3241.6494423306017</v>
      </c>
      <c r="I85" s="51">
        <f t="shared" si="42"/>
        <v>4538.3092192628419</v>
      </c>
      <c r="J85" s="51">
        <f t="shared" si="42"/>
        <v>6353.6329069679805</v>
      </c>
      <c r="K85" s="51">
        <f t="shared" si="42"/>
        <v>8895.0860697551707</v>
      </c>
      <c r="L85" s="51">
        <f t="shared" si="42"/>
        <v>12453.120497657241</v>
      </c>
      <c r="M85" s="51">
        <f t="shared" si="42"/>
        <v>17434.368696720132</v>
      </c>
      <c r="N85" s="51">
        <f t="shared" si="42"/>
        <v>24408.116175408188</v>
      </c>
      <c r="O85" s="51">
        <f t="shared" si="42"/>
        <v>34171.362645571462</v>
      </c>
      <c r="P85" s="51">
        <f t="shared" si="42"/>
        <v>47839.907703800047</v>
      </c>
      <c r="Q85" s="51">
        <f t="shared" si="42"/>
        <v>66975.870785320061</v>
      </c>
      <c r="R85" s="52">
        <f t="shared" ref="R85:R94" si="43">SUM(F85:Q85)</f>
        <v>230280.79080687201</v>
      </c>
    </row>
    <row r="86" spans="2:18">
      <c r="B86" s="47" t="s">
        <v>40</v>
      </c>
      <c r="C86" s="48"/>
      <c r="D86" s="49" t="s">
        <v>62</v>
      </c>
      <c r="E86" s="99">
        <v>0.06</v>
      </c>
      <c r="F86" s="51">
        <f t="shared" si="42"/>
        <v>248.08541650489298</v>
      </c>
      <c r="G86" s="51">
        <f t="shared" si="42"/>
        <v>347.31958310685019</v>
      </c>
      <c r="H86" s="51">
        <f t="shared" si="42"/>
        <v>486.2474163495902</v>
      </c>
      <c r="I86" s="51">
        <f t="shared" si="42"/>
        <v>680.74638288942629</v>
      </c>
      <c r="J86" s="51">
        <f t="shared" si="42"/>
        <v>953.04493604519701</v>
      </c>
      <c r="K86" s="51">
        <f t="shared" si="42"/>
        <v>1334.2629104632756</v>
      </c>
      <c r="L86" s="51">
        <f t="shared" si="42"/>
        <v>1867.9680746485858</v>
      </c>
      <c r="M86" s="51">
        <f t="shared" si="42"/>
        <v>2615.15530450802</v>
      </c>
      <c r="N86" s="51">
        <f t="shared" si="42"/>
        <v>3661.2174263112279</v>
      </c>
      <c r="O86" s="51">
        <f t="shared" si="42"/>
        <v>5125.7043968357193</v>
      </c>
      <c r="P86" s="51">
        <f t="shared" si="42"/>
        <v>7175.9861555700063</v>
      </c>
      <c r="Q86" s="51">
        <f t="shared" si="42"/>
        <v>10046.38061779801</v>
      </c>
      <c r="R86" s="52">
        <f t="shared" si="43"/>
        <v>34542.118621030801</v>
      </c>
    </row>
    <row r="87" spans="2:18">
      <c r="B87" s="47" t="s">
        <v>38</v>
      </c>
      <c r="C87" s="48"/>
      <c r="D87" s="49" t="s">
        <v>62</v>
      </c>
      <c r="E87" s="99">
        <v>0.05</v>
      </c>
      <c r="F87" s="51">
        <f t="shared" si="42"/>
        <v>206.73784708741084</v>
      </c>
      <c r="G87" s="51">
        <f t="shared" si="42"/>
        <v>289.43298592237517</v>
      </c>
      <c r="H87" s="51">
        <f t="shared" si="42"/>
        <v>405.20618029132521</v>
      </c>
      <c r="I87" s="51">
        <f t="shared" si="42"/>
        <v>567.28865240785524</v>
      </c>
      <c r="J87" s="51">
        <f t="shared" si="42"/>
        <v>794.20411337099756</v>
      </c>
      <c r="K87" s="51">
        <f t="shared" si="42"/>
        <v>1111.8857587193963</v>
      </c>
      <c r="L87" s="51">
        <f t="shared" si="42"/>
        <v>1556.6400622071551</v>
      </c>
      <c r="M87" s="51">
        <f t="shared" si="42"/>
        <v>2179.2960870900165</v>
      </c>
      <c r="N87" s="51">
        <f t="shared" si="42"/>
        <v>3051.0145219260235</v>
      </c>
      <c r="O87" s="51">
        <f t="shared" si="42"/>
        <v>4271.4203306964328</v>
      </c>
      <c r="P87" s="51">
        <f t="shared" si="42"/>
        <v>5979.9884629750059</v>
      </c>
      <c r="Q87" s="51">
        <f t="shared" si="42"/>
        <v>8371.9838481650077</v>
      </c>
      <c r="R87" s="52">
        <f t="shared" si="43"/>
        <v>28785.098850859002</v>
      </c>
    </row>
    <row r="88" spans="2:18">
      <c r="B88" s="47" t="s">
        <v>42</v>
      </c>
      <c r="C88" s="48"/>
      <c r="D88" s="49" t="s">
        <v>62</v>
      </c>
      <c r="E88" s="99">
        <v>0.05</v>
      </c>
      <c r="F88" s="51">
        <f t="shared" si="42"/>
        <v>206.73784708741084</v>
      </c>
      <c r="G88" s="51">
        <f t="shared" si="42"/>
        <v>289.43298592237517</v>
      </c>
      <c r="H88" s="51">
        <f t="shared" si="42"/>
        <v>405.20618029132521</v>
      </c>
      <c r="I88" s="51">
        <f t="shared" si="42"/>
        <v>567.28865240785524</v>
      </c>
      <c r="J88" s="51">
        <f t="shared" si="42"/>
        <v>794.20411337099756</v>
      </c>
      <c r="K88" s="51">
        <f t="shared" si="42"/>
        <v>1111.8857587193963</v>
      </c>
      <c r="L88" s="51">
        <f t="shared" si="42"/>
        <v>1556.6400622071551</v>
      </c>
      <c r="M88" s="51">
        <f t="shared" si="42"/>
        <v>2179.2960870900165</v>
      </c>
      <c r="N88" s="51">
        <f t="shared" si="42"/>
        <v>3051.0145219260235</v>
      </c>
      <c r="O88" s="51">
        <f t="shared" si="42"/>
        <v>4271.4203306964328</v>
      </c>
      <c r="P88" s="51">
        <f t="shared" si="42"/>
        <v>5979.9884629750059</v>
      </c>
      <c r="Q88" s="51">
        <f t="shared" si="42"/>
        <v>8371.9838481650077</v>
      </c>
      <c r="R88" s="52">
        <f t="shared" si="43"/>
        <v>28785.098850859002</v>
      </c>
    </row>
    <row r="89" spans="2:18">
      <c r="B89" s="47" t="s">
        <v>56</v>
      </c>
      <c r="C89" s="48"/>
      <c r="D89" s="49" t="s">
        <v>62</v>
      </c>
      <c r="E89" s="99">
        <v>0.05</v>
      </c>
      <c r="F89" s="51">
        <f t="shared" si="42"/>
        <v>206.73784708741084</v>
      </c>
      <c r="G89" s="51">
        <f t="shared" si="42"/>
        <v>289.43298592237517</v>
      </c>
      <c r="H89" s="51">
        <f t="shared" si="42"/>
        <v>405.20618029132521</v>
      </c>
      <c r="I89" s="51">
        <f t="shared" si="42"/>
        <v>567.28865240785524</v>
      </c>
      <c r="J89" s="51">
        <f t="shared" si="42"/>
        <v>794.20411337099756</v>
      </c>
      <c r="K89" s="51">
        <f t="shared" si="42"/>
        <v>1111.8857587193963</v>
      </c>
      <c r="L89" s="51">
        <f t="shared" si="42"/>
        <v>1556.6400622071551</v>
      </c>
      <c r="M89" s="51">
        <f t="shared" si="42"/>
        <v>2179.2960870900165</v>
      </c>
      <c r="N89" s="51">
        <f t="shared" si="42"/>
        <v>3051.0145219260235</v>
      </c>
      <c r="O89" s="51">
        <f t="shared" si="42"/>
        <v>4271.4203306964328</v>
      </c>
      <c r="P89" s="51">
        <f t="shared" si="42"/>
        <v>5979.9884629750059</v>
      </c>
      <c r="Q89" s="51">
        <f t="shared" si="42"/>
        <v>8371.9838481650077</v>
      </c>
      <c r="R89" s="52">
        <f t="shared" si="43"/>
        <v>28785.098850859002</v>
      </c>
    </row>
    <row r="90" spans="2:18">
      <c r="B90" s="47" t="s">
        <v>58</v>
      </c>
      <c r="C90" s="48"/>
      <c r="D90" s="49" t="s">
        <v>57</v>
      </c>
      <c r="E90" s="99">
        <v>0.01</v>
      </c>
      <c r="F90" s="51">
        <f t="shared" si="42"/>
        <v>41.347569417482163</v>
      </c>
      <c r="G90" s="51">
        <f t="shared" si="42"/>
        <v>57.886597184475029</v>
      </c>
      <c r="H90" s="51">
        <f t="shared" si="42"/>
        <v>81.041236058265042</v>
      </c>
      <c r="I90" s="51">
        <f t="shared" si="42"/>
        <v>113.45773048157105</v>
      </c>
      <c r="J90" s="51">
        <f t="shared" si="42"/>
        <v>158.8408226741995</v>
      </c>
      <c r="K90" s="51">
        <f t="shared" si="42"/>
        <v>222.37715174387927</v>
      </c>
      <c r="L90" s="51">
        <f t="shared" si="42"/>
        <v>311.32801244143099</v>
      </c>
      <c r="M90" s="51">
        <f t="shared" si="42"/>
        <v>435.85921741800331</v>
      </c>
      <c r="N90" s="51">
        <f t="shared" si="42"/>
        <v>610.20290438520465</v>
      </c>
      <c r="O90" s="51">
        <f t="shared" si="42"/>
        <v>854.28406613928655</v>
      </c>
      <c r="P90" s="51">
        <f t="shared" si="42"/>
        <v>1195.9976925950011</v>
      </c>
      <c r="Q90" s="51">
        <f t="shared" si="42"/>
        <v>1674.3967696330017</v>
      </c>
      <c r="R90" s="52">
        <f t="shared" si="43"/>
        <v>5757.0197701718007</v>
      </c>
    </row>
    <row r="91" spans="2:18">
      <c r="B91" s="47" t="s">
        <v>59</v>
      </c>
      <c r="C91" s="48"/>
      <c r="D91" s="49" t="s">
        <v>57</v>
      </c>
      <c r="E91" s="99">
        <v>0.01</v>
      </c>
      <c r="F91" s="51">
        <f t="shared" si="42"/>
        <v>41.347569417482163</v>
      </c>
      <c r="G91" s="51">
        <f t="shared" si="42"/>
        <v>57.886597184475029</v>
      </c>
      <c r="H91" s="51">
        <f t="shared" si="42"/>
        <v>81.041236058265042</v>
      </c>
      <c r="I91" s="51">
        <f t="shared" si="42"/>
        <v>113.45773048157105</v>
      </c>
      <c r="J91" s="51">
        <f t="shared" si="42"/>
        <v>158.8408226741995</v>
      </c>
      <c r="K91" s="51">
        <f t="shared" si="42"/>
        <v>222.37715174387927</v>
      </c>
      <c r="L91" s="51">
        <f t="shared" si="42"/>
        <v>311.32801244143099</v>
      </c>
      <c r="M91" s="51">
        <f t="shared" si="42"/>
        <v>435.85921741800331</v>
      </c>
      <c r="N91" s="51">
        <f t="shared" si="42"/>
        <v>610.20290438520465</v>
      </c>
      <c r="O91" s="51">
        <f t="shared" si="42"/>
        <v>854.28406613928655</v>
      </c>
      <c r="P91" s="51">
        <f t="shared" si="42"/>
        <v>1195.9976925950011</v>
      </c>
      <c r="Q91" s="51">
        <f t="shared" si="42"/>
        <v>1674.3967696330017</v>
      </c>
      <c r="R91" s="52">
        <f t="shared" si="43"/>
        <v>5757.0197701718007</v>
      </c>
    </row>
    <row r="92" spans="2:18">
      <c r="B92" s="47" t="s">
        <v>60</v>
      </c>
      <c r="C92" s="48"/>
      <c r="D92" s="49" t="s">
        <v>57</v>
      </c>
      <c r="E92" s="99">
        <v>0.01</v>
      </c>
      <c r="F92" s="51">
        <f t="shared" si="42"/>
        <v>41.347569417482163</v>
      </c>
      <c r="G92" s="51">
        <f t="shared" si="42"/>
        <v>57.886597184475029</v>
      </c>
      <c r="H92" s="51">
        <f t="shared" si="42"/>
        <v>81.041236058265042</v>
      </c>
      <c r="I92" s="51">
        <f t="shared" si="42"/>
        <v>113.45773048157105</v>
      </c>
      <c r="J92" s="51">
        <f t="shared" si="42"/>
        <v>158.8408226741995</v>
      </c>
      <c r="K92" s="51">
        <f t="shared" si="42"/>
        <v>222.37715174387927</v>
      </c>
      <c r="L92" s="51">
        <f t="shared" si="42"/>
        <v>311.32801244143099</v>
      </c>
      <c r="M92" s="51">
        <f t="shared" si="42"/>
        <v>435.85921741800331</v>
      </c>
      <c r="N92" s="51">
        <f t="shared" si="42"/>
        <v>610.20290438520465</v>
      </c>
      <c r="O92" s="51">
        <f t="shared" si="42"/>
        <v>854.28406613928655</v>
      </c>
      <c r="P92" s="51">
        <f t="shared" si="42"/>
        <v>1195.9976925950011</v>
      </c>
      <c r="Q92" s="51">
        <f t="shared" si="42"/>
        <v>1674.3967696330017</v>
      </c>
      <c r="R92" s="52">
        <f t="shared" si="43"/>
        <v>5757.0197701718007</v>
      </c>
    </row>
    <row r="93" spans="2:18">
      <c r="B93" s="47" t="s">
        <v>61</v>
      </c>
      <c r="C93" s="48"/>
      <c r="D93" s="49" t="s">
        <v>57</v>
      </c>
      <c r="E93" s="99">
        <v>0.01</v>
      </c>
      <c r="F93" s="51">
        <f t="shared" si="42"/>
        <v>41.347569417482163</v>
      </c>
      <c r="G93" s="51">
        <f t="shared" si="42"/>
        <v>57.886597184475029</v>
      </c>
      <c r="H93" s="51">
        <f t="shared" si="42"/>
        <v>81.041236058265042</v>
      </c>
      <c r="I93" s="51">
        <f t="shared" si="42"/>
        <v>113.45773048157105</v>
      </c>
      <c r="J93" s="51">
        <f t="shared" si="42"/>
        <v>158.8408226741995</v>
      </c>
      <c r="K93" s="51">
        <f t="shared" si="42"/>
        <v>222.37715174387927</v>
      </c>
      <c r="L93" s="51">
        <f t="shared" si="42"/>
        <v>311.32801244143099</v>
      </c>
      <c r="M93" s="51">
        <f t="shared" si="42"/>
        <v>435.85921741800331</v>
      </c>
      <c r="N93" s="51">
        <f t="shared" si="42"/>
        <v>610.20290438520465</v>
      </c>
      <c r="O93" s="51">
        <f t="shared" si="42"/>
        <v>854.28406613928655</v>
      </c>
      <c r="P93" s="51">
        <f t="shared" si="42"/>
        <v>1195.9976925950011</v>
      </c>
      <c r="Q93" s="51">
        <f t="shared" si="42"/>
        <v>1674.3967696330017</v>
      </c>
      <c r="R93" s="52">
        <f t="shared" si="43"/>
        <v>5757.0197701718007</v>
      </c>
    </row>
    <row r="94" spans="2:18">
      <c r="B94" s="47" t="s">
        <v>18</v>
      </c>
      <c r="C94" s="48"/>
      <c r="D94" s="49"/>
      <c r="E94" s="99">
        <v>0.05</v>
      </c>
      <c r="F94" s="51">
        <f t="shared" si="42"/>
        <v>206.73784708741084</v>
      </c>
      <c r="G94" s="51">
        <f t="shared" si="42"/>
        <v>289.43298592237517</v>
      </c>
      <c r="H94" s="51">
        <f t="shared" si="42"/>
        <v>405.20618029132521</v>
      </c>
      <c r="I94" s="51">
        <f t="shared" si="42"/>
        <v>567.28865240785524</v>
      </c>
      <c r="J94" s="51">
        <f t="shared" si="42"/>
        <v>794.20411337099756</v>
      </c>
      <c r="K94" s="51">
        <f t="shared" si="42"/>
        <v>1111.8857587193963</v>
      </c>
      <c r="L94" s="51">
        <f t="shared" si="42"/>
        <v>1556.6400622071551</v>
      </c>
      <c r="M94" s="51">
        <f t="shared" si="42"/>
        <v>2179.2960870900165</v>
      </c>
      <c r="N94" s="51">
        <f t="shared" si="42"/>
        <v>3051.0145219260235</v>
      </c>
      <c r="O94" s="51">
        <f t="shared" si="42"/>
        <v>4271.4203306964328</v>
      </c>
      <c r="P94" s="51">
        <f t="shared" si="42"/>
        <v>5979.9884629750059</v>
      </c>
      <c r="Q94" s="51">
        <f t="shared" si="42"/>
        <v>8371.9838481650077</v>
      </c>
      <c r="R94" s="52">
        <f t="shared" si="43"/>
        <v>28785.098850859002</v>
      </c>
    </row>
    <row r="95" spans="2:18" ht="8.25" customHeight="1">
      <c r="B95" s="47"/>
      <c r="C95" s="48"/>
      <c r="D95" s="49"/>
      <c r="E95" s="49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53"/>
    </row>
    <row r="96" spans="2:18">
      <c r="B96" s="60"/>
      <c r="C96" s="61"/>
      <c r="D96" s="62"/>
      <c r="E96" s="124">
        <f>SUM(E84:E95)</f>
        <v>1.0000000000000002</v>
      </c>
      <c r="F96" s="34">
        <f>SUM(F84:F94)</f>
        <v>4134.7569417482173</v>
      </c>
      <c r="G96" s="34">
        <f t="shared" ref="G96:R96" si="44">SUM(G84:G94)</f>
        <v>5788.6597184475049</v>
      </c>
      <c r="H96" s="34">
        <f t="shared" si="44"/>
        <v>8104.1236058265022</v>
      </c>
      <c r="I96" s="34">
        <f t="shared" si="44"/>
        <v>11345.773048157102</v>
      </c>
      <c r="J96" s="34">
        <f t="shared" si="44"/>
        <v>15884.082267419948</v>
      </c>
      <c r="K96" s="34">
        <f t="shared" si="44"/>
        <v>22237.715174387929</v>
      </c>
      <c r="L96" s="34">
        <f t="shared" si="44"/>
        <v>31132.801244143102</v>
      </c>
      <c r="M96" s="34">
        <f t="shared" si="44"/>
        <v>43585.92174180031</v>
      </c>
      <c r="N96" s="34">
        <f t="shared" si="44"/>
        <v>61020.290438520446</v>
      </c>
      <c r="O96" s="34">
        <f t="shared" si="44"/>
        <v>85428.406613928644</v>
      </c>
      <c r="P96" s="34">
        <f t="shared" si="44"/>
        <v>119599.7692595001</v>
      </c>
      <c r="Q96" s="34">
        <f t="shared" si="44"/>
        <v>167439.67696330015</v>
      </c>
      <c r="R96" s="53">
        <f t="shared" si="44"/>
        <v>575701.97701718006</v>
      </c>
    </row>
    <row r="99" spans="2:18">
      <c r="B99" s="38" t="s">
        <v>47</v>
      </c>
      <c r="C99" s="39"/>
      <c r="D99" s="40"/>
      <c r="E99" s="40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  <c r="Q99" s="39" t="s">
        <v>24</v>
      </c>
      <c r="R99" s="41"/>
    </row>
    <row r="100" spans="2:18">
      <c r="B100" s="42"/>
      <c r="C100" s="43"/>
      <c r="D100" s="44"/>
      <c r="E100" s="44"/>
      <c r="F100" s="45">
        <v>41456</v>
      </c>
      <c r="G100" s="45">
        <v>41487</v>
      </c>
      <c r="H100" s="45">
        <v>41518</v>
      </c>
      <c r="I100" s="45">
        <v>41548</v>
      </c>
      <c r="J100" s="45">
        <v>41579</v>
      </c>
      <c r="K100" s="45">
        <v>41609</v>
      </c>
      <c r="L100" s="45">
        <v>41640</v>
      </c>
      <c r="M100" s="45">
        <v>41671</v>
      </c>
      <c r="N100" s="45">
        <v>41699</v>
      </c>
      <c r="O100" s="45">
        <v>41730</v>
      </c>
      <c r="P100" s="45">
        <v>41760</v>
      </c>
      <c r="Q100" s="45">
        <v>41791</v>
      </c>
      <c r="R100" s="46" t="s">
        <v>20</v>
      </c>
    </row>
    <row r="101" spans="2:18">
      <c r="B101" s="47"/>
      <c r="C101" s="48"/>
      <c r="D101" s="49"/>
      <c r="E101" s="49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50"/>
    </row>
    <row r="102" spans="2:18">
      <c r="B102" s="47" t="s">
        <v>23</v>
      </c>
      <c r="C102" s="48"/>
      <c r="D102" s="49" t="s">
        <v>54</v>
      </c>
      <c r="E102" s="49"/>
      <c r="F102" s="51">
        <f>F116*F127</f>
        <v>934.15523834235159</v>
      </c>
      <c r="G102" s="51">
        <f t="shared" ref="G102:Q102" si="45">G116*G127</f>
        <v>1307.8173336792922</v>
      </c>
      <c r="H102" s="51">
        <f t="shared" si="45"/>
        <v>1830.9442671510094</v>
      </c>
      <c r="I102" s="51">
        <f t="shared" si="45"/>
        <v>2563.3219740114127</v>
      </c>
      <c r="J102" s="51">
        <f t="shared" si="45"/>
        <v>3588.6507636159781</v>
      </c>
      <c r="K102" s="51">
        <f t="shared" si="45"/>
        <v>5024.1110690623682</v>
      </c>
      <c r="L102" s="51">
        <f t="shared" si="45"/>
        <v>7033.7554966873158</v>
      </c>
      <c r="M102" s="51">
        <f t="shared" si="45"/>
        <v>9847.2576953622429</v>
      </c>
      <c r="N102" s="51">
        <f t="shared" si="45"/>
        <v>13786.160773507141</v>
      </c>
      <c r="O102" s="51">
        <f t="shared" si="45"/>
        <v>19300.625082909995</v>
      </c>
      <c r="P102" s="51">
        <f t="shared" si="45"/>
        <v>27020.875116073988</v>
      </c>
      <c r="Q102" s="51">
        <f t="shared" si="45"/>
        <v>37829.225162503586</v>
      </c>
      <c r="R102" s="52">
        <f>SUM(F102:Q102)</f>
        <v>130066.89997290667</v>
      </c>
    </row>
    <row r="103" spans="2:18">
      <c r="B103" s="47" t="s">
        <v>26</v>
      </c>
      <c r="C103" s="48"/>
      <c r="D103" s="49" t="s">
        <v>54</v>
      </c>
      <c r="E103" s="49"/>
      <c r="F103" s="51">
        <f t="shared" ref="F103:Q103" si="46">F117*F128</f>
        <v>1978.6191692818768</v>
      </c>
      <c r="G103" s="51">
        <f t="shared" si="46"/>
        <v>2770.0668369946275</v>
      </c>
      <c r="H103" s="51">
        <f t="shared" si="46"/>
        <v>3878.0935717924781</v>
      </c>
      <c r="I103" s="51">
        <f t="shared" si="46"/>
        <v>5429.331000509469</v>
      </c>
      <c r="J103" s="51">
        <f t="shared" si="46"/>
        <v>7601.0634007132567</v>
      </c>
      <c r="K103" s="51">
        <f t="shared" si="46"/>
        <v>10641.488760998558</v>
      </c>
      <c r="L103" s="51">
        <f t="shared" si="46"/>
        <v>14898.084265397983</v>
      </c>
      <c r="M103" s="51">
        <f t="shared" si="46"/>
        <v>20857.317971557175</v>
      </c>
      <c r="N103" s="51">
        <f t="shared" si="46"/>
        <v>29200.245160180046</v>
      </c>
      <c r="O103" s="51">
        <f t="shared" si="46"/>
        <v>40880.343224252058</v>
      </c>
      <c r="P103" s="51">
        <f t="shared" si="46"/>
        <v>57232.480513952876</v>
      </c>
      <c r="Q103" s="51">
        <f t="shared" si="46"/>
        <v>80125.472719534038</v>
      </c>
      <c r="R103" s="52">
        <f t="shared" ref="R103:R107" si="47">SUM(F103:Q103)</f>
        <v>275492.60659516446</v>
      </c>
    </row>
    <row r="104" spans="2:18">
      <c r="B104" s="47" t="s">
        <v>64</v>
      </c>
      <c r="C104" s="48"/>
      <c r="D104" s="49" t="s">
        <v>63</v>
      </c>
      <c r="E104" s="49"/>
      <c r="F104" s="51">
        <f t="shared" ref="F104:Q104" si="48">F118*F129</f>
        <v>595</v>
      </c>
      <c r="G104" s="51">
        <f t="shared" si="48"/>
        <v>833</v>
      </c>
      <c r="H104" s="51">
        <f t="shared" si="48"/>
        <v>1166.2</v>
      </c>
      <c r="I104" s="51">
        <f t="shared" si="48"/>
        <v>1632.6799999999998</v>
      </c>
      <c r="J104" s="51">
        <f t="shared" si="48"/>
        <v>2285.752</v>
      </c>
      <c r="K104" s="51">
        <f t="shared" si="48"/>
        <v>3200.0527999999995</v>
      </c>
      <c r="L104" s="51">
        <f t="shared" si="48"/>
        <v>4480.0739199999998</v>
      </c>
      <c r="M104" s="51">
        <f t="shared" si="48"/>
        <v>6272.1034879999988</v>
      </c>
      <c r="N104" s="51">
        <f t="shared" si="48"/>
        <v>8780.9448831999998</v>
      </c>
      <c r="O104" s="51">
        <f t="shared" si="48"/>
        <v>12293.32283648</v>
      </c>
      <c r="P104" s="51">
        <f t="shared" si="48"/>
        <v>17210.651971071995</v>
      </c>
      <c r="Q104" s="51">
        <f t="shared" si="48"/>
        <v>24094.912759500796</v>
      </c>
      <c r="R104" s="52">
        <f t="shared" si="47"/>
        <v>82844.694658252789</v>
      </c>
    </row>
    <row r="105" spans="2:18">
      <c r="B105" s="47" t="s">
        <v>52</v>
      </c>
      <c r="C105" s="48"/>
      <c r="D105" s="49" t="s">
        <v>63</v>
      </c>
      <c r="E105" s="49"/>
      <c r="F105" s="51">
        <f t="shared" ref="F105:Q105" si="49">F119*F130</f>
        <v>588</v>
      </c>
      <c r="G105" s="51">
        <f t="shared" si="49"/>
        <v>823.2</v>
      </c>
      <c r="H105" s="51">
        <f t="shared" si="49"/>
        <v>1152.48</v>
      </c>
      <c r="I105" s="51">
        <f t="shared" si="49"/>
        <v>1613.4719999999998</v>
      </c>
      <c r="J105" s="51">
        <f t="shared" si="49"/>
        <v>2258.8608000000004</v>
      </c>
      <c r="K105" s="51">
        <f t="shared" si="49"/>
        <v>3162.4051199999994</v>
      </c>
      <c r="L105" s="51">
        <f t="shared" si="49"/>
        <v>4427.3671679999998</v>
      </c>
      <c r="M105" s="51">
        <f t="shared" si="49"/>
        <v>6198.3140351999991</v>
      </c>
      <c r="N105" s="51">
        <f t="shared" si="49"/>
        <v>8677.6396492799995</v>
      </c>
      <c r="O105" s="51">
        <f t="shared" si="49"/>
        <v>12148.695508991999</v>
      </c>
      <c r="P105" s="51">
        <f t="shared" si="49"/>
        <v>17008.173712588796</v>
      </c>
      <c r="Q105" s="51">
        <f t="shared" si="49"/>
        <v>23811.443197624314</v>
      </c>
      <c r="R105" s="52">
        <f t="shared" si="47"/>
        <v>81870.05119168511</v>
      </c>
    </row>
    <row r="106" spans="2:18">
      <c r="B106" s="47" t="s">
        <v>51</v>
      </c>
      <c r="C106" s="48"/>
      <c r="D106" s="49" t="s">
        <v>57</v>
      </c>
      <c r="E106" s="49"/>
      <c r="F106" s="51">
        <f t="shared" ref="F106:Q106" si="50">F120*F131</f>
        <v>570</v>
      </c>
      <c r="G106" s="51">
        <f t="shared" si="50"/>
        <v>798</v>
      </c>
      <c r="H106" s="51">
        <f t="shared" si="50"/>
        <v>1117.2</v>
      </c>
      <c r="I106" s="51">
        <f t="shared" si="50"/>
        <v>1564.08</v>
      </c>
      <c r="J106" s="51">
        <f t="shared" si="50"/>
        <v>2189.712</v>
      </c>
      <c r="K106" s="51">
        <f t="shared" si="50"/>
        <v>3065.5967999999998</v>
      </c>
      <c r="L106" s="51">
        <f t="shared" si="50"/>
        <v>4291.8355200000005</v>
      </c>
      <c r="M106" s="51">
        <f t="shared" si="50"/>
        <v>6008.5697279999995</v>
      </c>
      <c r="N106" s="51">
        <f t="shared" si="50"/>
        <v>8411.9976191999995</v>
      </c>
      <c r="O106" s="51">
        <f t="shared" si="50"/>
        <v>11776.796666879998</v>
      </c>
      <c r="P106" s="51">
        <f t="shared" si="50"/>
        <v>16487.515333631996</v>
      </c>
      <c r="Q106" s="51">
        <f t="shared" si="50"/>
        <v>23082.521467084796</v>
      </c>
      <c r="R106" s="52">
        <f t="shared" si="47"/>
        <v>79363.825134796789</v>
      </c>
    </row>
    <row r="107" spans="2:18">
      <c r="B107" s="47" t="s">
        <v>53</v>
      </c>
      <c r="C107" s="48"/>
      <c r="D107" s="49" t="s">
        <v>57</v>
      </c>
      <c r="E107" s="49"/>
      <c r="F107" s="51">
        <f t="shared" ref="F107:Q107" si="51">F121*F132</f>
        <v>3810</v>
      </c>
      <c r="G107" s="51">
        <f t="shared" si="51"/>
        <v>5334</v>
      </c>
      <c r="H107" s="51">
        <f t="shared" si="51"/>
        <v>7467.5999999999995</v>
      </c>
      <c r="I107" s="51">
        <f t="shared" si="51"/>
        <v>10454.64</v>
      </c>
      <c r="J107" s="51">
        <f t="shared" si="51"/>
        <v>14636.496000000001</v>
      </c>
      <c r="K107" s="51">
        <f t="shared" si="51"/>
        <v>20491.094399999998</v>
      </c>
      <c r="L107" s="51">
        <f t="shared" si="51"/>
        <v>28687.532160000002</v>
      </c>
      <c r="M107" s="51">
        <f t="shared" si="51"/>
        <v>40162.545023999999</v>
      </c>
      <c r="N107" s="51">
        <f t="shared" si="51"/>
        <v>56227.563033600003</v>
      </c>
      <c r="O107" s="51">
        <f t="shared" si="51"/>
        <v>78718.588247039996</v>
      </c>
      <c r="P107" s="51">
        <f t="shared" si="51"/>
        <v>110206.02354585596</v>
      </c>
      <c r="Q107" s="51">
        <f t="shared" si="51"/>
        <v>154288.43296419838</v>
      </c>
      <c r="R107" s="52">
        <f t="shared" si="47"/>
        <v>530484.51537469437</v>
      </c>
    </row>
    <row r="108" spans="2:18">
      <c r="B108" s="47"/>
      <c r="C108" s="48"/>
      <c r="D108" s="49"/>
      <c r="E108" s="49"/>
      <c r="F108" s="51"/>
      <c r="G108" s="51"/>
      <c r="H108" s="51"/>
      <c r="I108" s="51"/>
      <c r="J108" s="51"/>
      <c r="K108" s="51"/>
      <c r="L108" s="51"/>
      <c r="M108" s="51"/>
      <c r="N108" s="51"/>
      <c r="O108" s="51"/>
      <c r="P108" s="51"/>
      <c r="Q108" s="51"/>
      <c r="R108" s="52"/>
    </row>
    <row r="109" spans="2:18" ht="6.75" customHeight="1">
      <c r="B109" s="47"/>
      <c r="C109" s="48"/>
      <c r="D109" s="49"/>
      <c r="E109" s="49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53"/>
    </row>
    <row r="110" spans="2:18">
      <c r="B110" s="47" t="s">
        <v>43</v>
      </c>
      <c r="C110" s="48"/>
      <c r="D110" s="49"/>
      <c r="E110" s="49"/>
      <c r="F110" s="51">
        <f>SUM(F102:F108)</f>
        <v>8475.7744076242288</v>
      </c>
      <c r="G110" s="51">
        <f t="shared" ref="G110:R110" si="52">SUM(G102:G108)</f>
        <v>11866.084170673919</v>
      </c>
      <c r="H110" s="51">
        <f t="shared" si="52"/>
        <v>16612.517838943488</v>
      </c>
      <c r="I110" s="51">
        <f t="shared" si="52"/>
        <v>23257.524974520878</v>
      </c>
      <c r="J110" s="51">
        <f t="shared" si="52"/>
        <v>32560.534964329236</v>
      </c>
      <c r="K110" s="51">
        <f t="shared" si="52"/>
        <v>45584.748950060923</v>
      </c>
      <c r="L110" s="51">
        <f t="shared" si="52"/>
        <v>63818.648530085302</v>
      </c>
      <c r="M110" s="51">
        <f t="shared" si="52"/>
        <v>89346.107942119415</v>
      </c>
      <c r="N110" s="51">
        <f t="shared" si="52"/>
        <v>125084.55111896718</v>
      </c>
      <c r="O110" s="51">
        <f t="shared" si="52"/>
        <v>175118.37156655404</v>
      </c>
      <c r="P110" s="51">
        <f t="shared" si="52"/>
        <v>245165.7201931756</v>
      </c>
      <c r="Q110" s="51">
        <f t="shared" si="52"/>
        <v>343232.00827044592</v>
      </c>
      <c r="R110" s="52">
        <f t="shared" si="52"/>
        <v>1180122.5929275001</v>
      </c>
    </row>
    <row r="111" spans="2:18">
      <c r="B111" s="60"/>
      <c r="C111" s="61"/>
      <c r="D111" s="62"/>
      <c r="E111" s="62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53"/>
    </row>
    <row r="113" spans="2:18">
      <c r="B113" s="54" t="s">
        <v>49</v>
      </c>
      <c r="C113" s="55"/>
      <c r="D113" s="56"/>
      <c r="E113" s="56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 t="s">
        <v>24</v>
      </c>
      <c r="R113" s="57"/>
    </row>
    <row r="114" spans="2:18">
      <c r="B114" s="42"/>
      <c r="C114" s="43"/>
      <c r="D114" s="44"/>
      <c r="E114" s="44"/>
      <c r="F114" s="45">
        <v>41456</v>
      </c>
      <c r="G114" s="45">
        <v>41487</v>
      </c>
      <c r="H114" s="45">
        <v>41518</v>
      </c>
      <c r="I114" s="45">
        <v>41548</v>
      </c>
      <c r="J114" s="45">
        <v>41579</v>
      </c>
      <c r="K114" s="45">
        <v>41609</v>
      </c>
      <c r="L114" s="45">
        <v>41640</v>
      </c>
      <c r="M114" s="45">
        <v>41671</v>
      </c>
      <c r="N114" s="45">
        <v>41699</v>
      </c>
      <c r="O114" s="45">
        <v>41730</v>
      </c>
      <c r="P114" s="45">
        <v>41760</v>
      </c>
      <c r="Q114" s="45">
        <v>41791</v>
      </c>
      <c r="R114" s="46"/>
    </row>
    <row r="115" spans="2:18">
      <c r="B115" s="47"/>
      <c r="C115" s="48"/>
      <c r="D115" s="49"/>
      <c r="E115" s="49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50"/>
    </row>
    <row r="116" spans="2:18">
      <c r="B116" s="47" t="s">
        <v>23</v>
      </c>
      <c r="C116" s="48"/>
      <c r="D116" s="49" t="s">
        <v>54</v>
      </c>
      <c r="E116" s="49"/>
      <c r="F116" s="65">
        <f>'App 3_Service Fee Ref.'!N31</f>
        <v>4.833333333333333</v>
      </c>
      <c r="G116" s="65">
        <f>F116</f>
        <v>4.833333333333333</v>
      </c>
      <c r="H116" s="65">
        <f t="shared" ref="H116:Q116" si="53">G116</f>
        <v>4.833333333333333</v>
      </c>
      <c r="I116" s="65">
        <f t="shared" si="53"/>
        <v>4.833333333333333</v>
      </c>
      <c r="J116" s="65">
        <f t="shared" si="53"/>
        <v>4.833333333333333</v>
      </c>
      <c r="K116" s="65">
        <f t="shared" si="53"/>
        <v>4.833333333333333</v>
      </c>
      <c r="L116" s="65">
        <f t="shared" si="53"/>
        <v>4.833333333333333</v>
      </c>
      <c r="M116" s="65">
        <f t="shared" si="53"/>
        <v>4.833333333333333</v>
      </c>
      <c r="N116" s="65">
        <f t="shared" si="53"/>
        <v>4.833333333333333</v>
      </c>
      <c r="O116" s="65">
        <f t="shared" si="53"/>
        <v>4.833333333333333</v>
      </c>
      <c r="P116" s="65">
        <f t="shared" si="53"/>
        <v>4.833333333333333</v>
      </c>
      <c r="Q116" s="65">
        <f t="shared" si="53"/>
        <v>4.833333333333333</v>
      </c>
      <c r="R116" s="59"/>
    </row>
    <row r="117" spans="2:18">
      <c r="B117" s="47" t="s">
        <v>26</v>
      </c>
      <c r="C117" s="48"/>
      <c r="D117" s="49" t="s">
        <v>54</v>
      </c>
      <c r="E117" s="49"/>
      <c r="F117" s="65">
        <f>'App 3_Service Fee Ref.'!N32</f>
        <v>5.666666666666667</v>
      </c>
      <c r="G117" s="65">
        <f t="shared" ref="G117:Q121" si="54">F117</f>
        <v>5.666666666666667</v>
      </c>
      <c r="H117" s="65">
        <f t="shared" si="54"/>
        <v>5.666666666666667</v>
      </c>
      <c r="I117" s="65">
        <f t="shared" si="54"/>
        <v>5.666666666666667</v>
      </c>
      <c r="J117" s="65">
        <f t="shared" si="54"/>
        <v>5.666666666666667</v>
      </c>
      <c r="K117" s="65">
        <f t="shared" si="54"/>
        <v>5.666666666666667</v>
      </c>
      <c r="L117" s="65">
        <f t="shared" si="54"/>
        <v>5.666666666666667</v>
      </c>
      <c r="M117" s="65">
        <f t="shared" si="54"/>
        <v>5.666666666666667</v>
      </c>
      <c r="N117" s="65">
        <f t="shared" si="54"/>
        <v>5.666666666666667</v>
      </c>
      <c r="O117" s="65">
        <f t="shared" si="54"/>
        <v>5.666666666666667</v>
      </c>
      <c r="P117" s="65">
        <f t="shared" si="54"/>
        <v>5.666666666666667</v>
      </c>
      <c r="Q117" s="65">
        <f t="shared" si="54"/>
        <v>5.666666666666667</v>
      </c>
      <c r="R117" s="59"/>
    </row>
    <row r="118" spans="2:18">
      <c r="B118" s="47" t="s">
        <v>64</v>
      </c>
      <c r="C118" s="48"/>
      <c r="D118" s="49" t="s">
        <v>63</v>
      </c>
      <c r="E118" s="49"/>
      <c r="F118" s="65">
        <f>'App 3_Service Fee Ref.'!N33</f>
        <v>9.9166666666666661</v>
      </c>
      <c r="G118" s="65">
        <f t="shared" si="54"/>
        <v>9.9166666666666661</v>
      </c>
      <c r="H118" s="65">
        <f t="shared" si="54"/>
        <v>9.9166666666666661</v>
      </c>
      <c r="I118" s="65">
        <f t="shared" si="54"/>
        <v>9.9166666666666661</v>
      </c>
      <c r="J118" s="65">
        <f t="shared" si="54"/>
        <v>9.9166666666666661</v>
      </c>
      <c r="K118" s="65">
        <f t="shared" si="54"/>
        <v>9.9166666666666661</v>
      </c>
      <c r="L118" s="65">
        <f t="shared" si="54"/>
        <v>9.9166666666666661</v>
      </c>
      <c r="M118" s="65">
        <f t="shared" si="54"/>
        <v>9.9166666666666661</v>
      </c>
      <c r="N118" s="65">
        <f t="shared" si="54"/>
        <v>9.9166666666666661</v>
      </c>
      <c r="O118" s="65">
        <f t="shared" si="54"/>
        <v>9.9166666666666661</v>
      </c>
      <c r="P118" s="65">
        <f t="shared" si="54"/>
        <v>9.9166666666666661</v>
      </c>
      <c r="Q118" s="65">
        <f t="shared" si="54"/>
        <v>9.9166666666666661</v>
      </c>
      <c r="R118" s="59"/>
    </row>
    <row r="119" spans="2:18">
      <c r="B119" s="47" t="s">
        <v>52</v>
      </c>
      <c r="C119" s="48"/>
      <c r="D119" s="49" t="s">
        <v>63</v>
      </c>
      <c r="E119" s="49"/>
      <c r="F119" s="65">
        <f>'App 3_Service Fee Ref.'!N34</f>
        <v>49</v>
      </c>
      <c r="G119" s="65">
        <f t="shared" si="54"/>
        <v>49</v>
      </c>
      <c r="H119" s="65">
        <f t="shared" si="54"/>
        <v>49</v>
      </c>
      <c r="I119" s="65">
        <f t="shared" si="54"/>
        <v>49</v>
      </c>
      <c r="J119" s="65">
        <f t="shared" si="54"/>
        <v>49</v>
      </c>
      <c r="K119" s="65">
        <f t="shared" si="54"/>
        <v>49</v>
      </c>
      <c r="L119" s="65">
        <f t="shared" si="54"/>
        <v>49</v>
      </c>
      <c r="M119" s="65">
        <f t="shared" si="54"/>
        <v>49</v>
      </c>
      <c r="N119" s="65">
        <f t="shared" si="54"/>
        <v>49</v>
      </c>
      <c r="O119" s="65">
        <f t="shared" si="54"/>
        <v>49</v>
      </c>
      <c r="P119" s="65">
        <f t="shared" si="54"/>
        <v>49</v>
      </c>
      <c r="Q119" s="65">
        <f t="shared" si="54"/>
        <v>49</v>
      </c>
      <c r="R119" s="59"/>
    </row>
    <row r="120" spans="2:18">
      <c r="B120" s="47" t="s">
        <v>51</v>
      </c>
      <c r="C120" s="48"/>
      <c r="D120" s="49" t="s">
        <v>57</v>
      </c>
      <c r="E120" s="49"/>
      <c r="F120" s="65">
        <f>'App 3_Service Fee Ref.'!N35</f>
        <v>95</v>
      </c>
      <c r="G120" s="65">
        <f t="shared" si="54"/>
        <v>95</v>
      </c>
      <c r="H120" s="65">
        <f t="shared" si="54"/>
        <v>95</v>
      </c>
      <c r="I120" s="65">
        <f t="shared" si="54"/>
        <v>95</v>
      </c>
      <c r="J120" s="65">
        <f t="shared" si="54"/>
        <v>95</v>
      </c>
      <c r="K120" s="65">
        <f t="shared" si="54"/>
        <v>95</v>
      </c>
      <c r="L120" s="65">
        <f t="shared" si="54"/>
        <v>95</v>
      </c>
      <c r="M120" s="65">
        <f t="shared" si="54"/>
        <v>95</v>
      </c>
      <c r="N120" s="65">
        <f t="shared" si="54"/>
        <v>95</v>
      </c>
      <c r="O120" s="65">
        <f t="shared" si="54"/>
        <v>95</v>
      </c>
      <c r="P120" s="65">
        <f t="shared" si="54"/>
        <v>95</v>
      </c>
      <c r="Q120" s="65">
        <f t="shared" si="54"/>
        <v>95</v>
      </c>
      <c r="R120" s="59"/>
    </row>
    <row r="121" spans="2:18">
      <c r="B121" s="47" t="s">
        <v>53</v>
      </c>
      <c r="C121" s="48"/>
      <c r="D121" s="49" t="s">
        <v>57</v>
      </c>
      <c r="E121" s="49"/>
      <c r="F121" s="65">
        <f>'App 3_Service Fee Ref.'!N36</f>
        <v>1270</v>
      </c>
      <c r="G121" s="65">
        <f t="shared" si="54"/>
        <v>1270</v>
      </c>
      <c r="H121" s="65">
        <f t="shared" si="54"/>
        <v>1270</v>
      </c>
      <c r="I121" s="65">
        <f t="shared" si="54"/>
        <v>1270</v>
      </c>
      <c r="J121" s="65">
        <f t="shared" si="54"/>
        <v>1270</v>
      </c>
      <c r="K121" s="65">
        <f t="shared" si="54"/>
        <v>1270</v>
      </c>
      <c r="L121" s="65">
        <f t="shared" si="54"/>
        <v>1270</v>
      </c>
      <c r="M121" s="65">
        <f t="shared" si="54"/>
        <v>1270</v>
      </c>
      <c r="N121" s="65">
        <f t="shared" si="54"/>
        <v>1270</v>
      </c>
      <c r="O121" s="65">
        <f t="shared" si="54"/>
        <v>1270</v>
      </c>
      <c r="P121" s="65">
        <f t="shared" si="54"/>
        <v>1270</v>
      </c>
      <c r="Q121" s="65">
        <f t="shared" si="54"/>
        <v>1270</v>
      </c>
      <c r="R121" s="59"/>
    </row>
    <row r="122" spans="2:18">
      <c r="B122" s="47"/>
      <c r="C122" s="48"/>
      <c r="D122" s="49"/>
      <c r="E122" s="49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59"/>
    </row>
    <row r="123" spans="2:18">
      <c r="B123" s="47"/>
      <c r="C123" s="48"/>
      <c r="D123" s="49"/>
      <c r="E123" s="49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53"/>
    </row>
    <row r="124" spans="2:18">
      <c r="B124" s="54" t="s">
        <v>50</v>
      </c>
      <c r="C124" s="55"/>
      <c r="D124" s="56"/>
      <c r="E124" s="56"/>
      <c r="F124" s="55"/>
      <c r="G124" s="55"/>
      <c r="H124" s="55"/>
      <c r="I124" s="55"/>
      <c r="J124" s="55"/>
      <c r="K124" s="55"/>
      <c r="L124" s="55"/>
      <c r="M124" s="55"/>
      <c r="N124" s="55"/>
      <c r="O124" s="55"/>
      <c r="P124" s="55"/>
      <c r="Q124" s="55" t="s">
        <v>25</v>
      </c>
      <c r="R124" s="57"/>
    </row>
    <row r="125" spans="2:18">
      <c r="B125" s="42"/>
      <c r="C125" s="43"/>
      <c r="D125" s="44"/>
      <c r="E125" s="44"/>
      <c r="F125" s="45">
        <v>41456</v>
      </c>
      <c r="G125" s="45">
        <v>41487</v>
      </c>
      <c r="H125" s="45">
        <v>41518</v>
      </c>
      <c r="I125" s="45">
        <v>41548</v>
      </c>
      <c r="J125" s="45">
        <v>41579</v>
      </c>
      <c r="K125" s="45">
        <v>41609</v>
      </c>
      <c r="L125" s="45">
        <v>41640</v>
      </c>
      <c r="M125" s="45">
        <v>41671</v>
      </c>
      <c r="N125" s="45">
        <v>41699</v>
      </c>
      <c r="O125" s="45">
        <v>41730</v>
      </c>
      <c r="P125" s="45">
        <v>41760</v>
      </c>
      <c r="Q125" s="45">
        <v>41791</v>
      </c>
      <c r="R125" s="46" t="s">
        <v>20</v>
      </c>
    </row>
    <row r="126" spans="2:18">
      <c r="B126" s="47"/>
      <c r="C126" s="48"/>
      <c r="D126" s="49"/>
      <c r="E126" s="49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50"/>
    </row>
    <row r="127" spans="2:18">
      <c r="B127" s="47" t="s">
        <v>23</v>
      </c>
      <c r="C127" s="48"/>
      <c r="D127" s="49" t="s">
        <v>54</v>
      </c>
      <c r="E127" s="91">
        <f>'Medic Data'!G23</f>
        <v>0.32212249598012127</v>
      </c>
      <c r="F127" s="51">
        <f>$E127*F$32</f>
        <v>193.27349758807276</v>
      </c>
      <c r="G127" s="51">
        <f t="shared" ref="G127:Q127" si="55">$E127*G$32</f>
        <v>270.58289662330185</v>
      </c>
      <c r="H127" s="51">
        <f t="shared" si="55"/>
        <v>378.81605527262263</v>
      </c>
      <c r="I127" s="51">
        <f t="shared" si="55"/>
        <v>530.34247738167164</v>
      </c>
      <c r="J127" s="51">
        <f t="shared" si="55"/>
        <v>742.47946833434037</v>
      </c>
      <c r="K127" s="51">
        <f t="shared" si="55"/>
        <v>1039.4712556680763</v>
      </c>
      <c r="L127" s="51">
        <f t="shared" si="55"/>
        <v>1455.2597579353069</v>
      </c>
      <c r="M127" s="51">
        <f t="shared" si="55"/>
        <v>2037.3636611094296</v>
      </c>
      <c r="N127" s="51">
        <f t="shared" si="55"/>
        <v>2852.3091255532017</v>
      </c>
      <c r="O127" s="51">
        <f t="shared" si="55"/>
        <v>3993.232775774482</v>
      </c>
      <c r="P127" s="51">
        <f t="shared" si="55"/>
        <v>5590.5258860842741</v>
      </c>
      <c r="Q127" s="51">
        <f t="shared" si="55"/>
        <v>7826.7362405179838</v>
      </c>
      <c r="R127" s="52">
        <f>SUM(F127:Q127)</f>
        <v>26910.393097842763</v>
      </c>
    </row>
    <row r="128" spans="2:18">
      <c r="B128" s="47" t="s">
        <v>26</v>
      </c>
      <c r="C128" s="48"/>
      <c r="D128" s="49" t="s">
        <v>54</v>
      </c>
      <c r="E128" s="91">
        <f>'Medic Data'!G24</f>
        <v>0.58194681449466956</v>
      </c>
      <c r="F128" s="51">
        <f t="shared" ref="F128:Q132" si="56">$E128*F$32</f>
        <v>349.16808869680176</v>
      </c>
      <c r="G128" s="51">
        <f t="shared" si="56"/>
        <v>488.83532417552243</v>
      </c>
      <c r="H128" s="51">
        <f t="shared" si="56"/>
        <v>684.36945384573141</v>
      </c>
      <c r="I128" s="51">
        <f t="shared" si="56"/>
        <v>958.11723538402384</v>
      </c>
      <c r="J128" s="51">
        <f t="shared" si="56"/>
        <v>1341.3641295376335</v>
      </c>
      <c r="K128" s="51">
        <f t="shared" si="56"/>
        <v>1877.9097813526867</v>
      </c>
      <c r="L128" s="51">
        <f t="shared" si="56"/>
        <v>2629.0736938937616</v>
      </c>
      <c r="M128" s="51">
        <f t="shared" si="56"/>
        <v>3680.7031714512659</v>
      </c>
      <c r="N128" s="51">
        <f t="shared" si="56"/>
        <v>5152.9844400317725</v>
      </c>
      <c r="O128" s="51">
        <f t="shared" si="56"/>
        <v>7214.1782160444809</v>
      </c>
      <c r="P128" s="51">
        <f t="shared" si="56"/>
        <v>10099.849502462272</v>
      </c>
      <c r="Q128" s="51">
        <f t="shared" si="56"/>
        <v>14139.789303447182</v>
      </c>
      <c r="R128" s="52">
        <f t="shared" ref="R128:R132" si="57">SUM(F128:Q128)</f>
        <v>48616.342340323143</v>
      </c>
    </row>
    <row r="129" spans="2:18">
      <c r="B129" s="47" t="s">
        <v>64</v>
      </c>
      <c r="C129" s="48"/>
      <c r="D129" s="49" t="s">
        <v>63</v>
      </c>
      <c r="E129" s="100">
        <v>0.1</v>
      </c>
      <c r="F129" s="51">
        <f t="shared" si="56"/>
        <v>60</v>
      </c>
      <c r="G129" s="51">
        <f t="shared" si="56"/>
        <v>84</v>
      </c>
      <c r="H129" s="51">
        <f t="shared" si="56"/>
        <v>117.60000000000001</v>
      </c>
      <c r="I129" s="51">
        <f t="shared" si="56"/>
        <v>164.64</v>
      </c>
      <c r="J129" s="51">
        <f t="shared" si="56"/>
        <v>230.49600000000001</v>
      </c>
      <c r="K129" s="51">
        <f t="shared" si="56"/>
        <v>322.69439999999997</v>
      </c>
      <c r="L129" s="51">
        <f t="shared" si="56"/>
        <v>451.77215999999999</v>
      </c>
      <c r="M129" s="51">
        <f t="shared" si="56"/>
        <v>632.48102399999993</v>
      </c>
      <c r="N129" s="51">
        <f t="shared" si="56"/>
        <v>885.47343360000002</v>
      </c>
      <c r="O129" s="51">
        <f t="shared" si="56"/>
        <v>1239.66280704</v>
      </c>
      <c r="P129" s="51">
        <f t="shared" si="56"/>
        <v>1735.5279298559997</v>
      </c>
      <c r="Q129" s="51">
        <f t="shared" si="56"/>
        <v>2429.7391017983996</v>
      </c>
      <c r="R129" s="52">
        <f t="shared" si="57"/>
        <v>8354.0868562943997</v>
      </c>
    </row>
    <row r="130" spans="2:18">
      <c r="B130" s="47" t="s">
        <v>52</v>
      </c>
      <c r="C130" s="48"/>
      <c r="D130" s="49" t="s">
        <v>63</v>
      </c>
      <c r="E130" s="91">
        <v>0.02</v>
      </c>
      <c r="F130" s="51">
        <f t="shared" si="56"/>
        <v>12</v>
      </c>
      <c r="G130" s="51">
        <f t="shared" si="56"/>
        <v>16.8</v>
      </c>
      <c r="H130" s="51">
        <f t="shared" si="56"/>
        <v>23.52</v>
      </c>
      <c r="I130" s="51">
        <f t="shared" si="56"/>
        <v>32.927999999999997</v>
      </c>
      <c r="J130" s="51">
        <f t="shared" si="56"/>
        <v>46.099200000000003</v>
      </c>
      <c r="K130" s="51">
        <f t="shared" si="56"/>
        <v>64.538879999999992</v>
      </c>
      <c r="L130" s="51">
        <f t="shared" si="56"/>
        <v>90.354432000000003</v>
      </c>
      <c r="M130" s="51">
        <f t="shared" si="56"/>
        <v>126.49620479999999</v>
      </c>
      <c r="N130" s="51">
        <f t="shared" si="56"/>
        <v>177.09468672</v>
      </c>
      <c r="O130" s="51">
        <f t="shared" si="56"/>
        <v>247.93256140799997</v>
      </c>
      <c r="P130" s="51">
        <f t="shared" si="56"/>
        <v>347.1055859711999</v>
      </c>
      <c r="Q130" s="51">
        <f t="shared" si="56"/>
        <v>485.94782035967989</v>
      </c>
      <c r="R130" s="52">
        <f t="shared" si="57"/>
        <v>1670.8173712588796</v>
      </c>
    </row>
    <row r="131" spans="2:18">
      <c r="B131" s="47" t="s">
        <v>51</v>
      </c>
      <c r="C131" s="48"/>
      <c r="D131" s="49" t="s">
        <v>57</v>
      </c>
      <c r="E131" s="91">
        <v>0.01</v>
      </c>
      <c r="F131" s="51">
        <f t="shared" si="56"/>
        <v>6</v>
      </c>
      <c r="G131" s="51">
        <f t="shared" si="56"/>
        <v>8.4</v>
      </c>
      <c r="H131" s="51">
        <f t="shared" si="56"/>
        <v>11.76</v>
      </c>
      <c r="I131" s="51">
        <f t="shared" si="56"/>
        <v>16.463999999999999</v>
      </c>
      <c r="J131" s="51">
        <f t="shared" si="56"/>
        <v>23.049600000000002</v>
      </c>
      <c r="K131" s="51">
        <f t="shared" si="56"/>
        <v>32.269439999999996</v>
      </c>
      <c r="L131" s="51">
        <f t="shared" si="56"/>
        <v>45.177216000000001</v>
      </c>
      <c r="M131" s="51">
        <f t="shared" si="56"/>
        <v>63.248102399999993</v>
      </c>
      <c r="N131" s="51">
        <f t="shared" si="56"/>
        <v>88.547343359999999</v>
      </c>
      <c r="O131" s="51">
        <f t="shared" si="56"/>
        <v>123.96628070399998</v>
      </c>
      <c r="P131" s="51">
        <f t="shared" si="56"/>
        <v>173.55279298559995</v>
      </c>
      <c r="Q131" s="51">
        <f t="shared" si="56"/>
        <v>242.97391017983995</v>
      </c>
      <c r="R131" s="52">
        <f t="shared" si="57"/>
        <v>835.40868562943979</v>
      </c>
    </row>
    <row r="132" spans="2:18">
      <c r="B132" s="47" t="s">
        <v>53</v>
      </c>
      <c r="C132" s="48"/>
      <c r="D132" s="49" t="s">
        <v>57</v>
      </c>
      <c r="E132" s="100">
        <v>5.0000000000000001E-3</v>
      </c>
      <c r="F132" s="51">
        <f t="shared" si="56"/>
        <v>3</v>
      </c>
      <c r="G132" s="51">
        <f t="shared" si="56"/>
        <v>4.2</v>
      </c>
      <c r="H132" s="51">
        <f t="shared" si="56"/>
        <v>5.88</v>
      </c>
      <c r="I132" s="51">
        <f t="shared" si="56"/>
        <v>8.2319999999999993</v>
      </c>
      <c r="J132" s="51">
        <f t="shared" si="56"/>
        <v>11.524800000000001</v>
      </c>
      <c r="K132" s="51">
        <f t="shared" si="56"/>
        <v>16.134719999999998</v>
      </c>
      <c r="L132" s="51">
        <f t="shared" si="56"/>
        <v>22.588608000000001</v>
      </c>
      <c r="M132" s="51">
        <f t="shared" si="56"/>
        <v>31.624051199999997</v>
      </c>
      <c r="N132" s="51">
        <f t="shared" si="56"/>
        <v>44.27367168</v>
      </c>
      <c r="O132" s="51">
        <f t="shared" si="56"/>
        <v>61.983140351999992</v>
      </c>
      <c r="P132" s="51">
        <f t="shared" si="56"/>
        <v>86.776396492799975</v>
      </c>
      <c r="Q132" s="51">
        <f t="shared" si="56"/>
        <v>121.48695508991997</v>
      </c>
      <c r="R132" s="52">
        <f t="shared" si="57"/>
        <v>417.70434281471989</v>
      </c>
    </row>
    <row r="133" spans="2:18">
      <c r="B133" s="47"/>
      <c r="C133" s="48"/>
      <c r="D133" s="49"/>
      <c r="E133" s="91"/>
      <c r="F133" s="51"/>
      <c r="G133" s="51"/>
      <c r="H133" s="51"/>
      <c r="I133" s="51"/>
      <c r="J133" s="51"/>
      <c r="K133" s="51"/>
      <c r="L133" s="51"/>
      <c r="M133" s="51"/>
      <c r="N133" s="51"/>
      <c r="O133" s="51"/>
      <c r="P133" s="51"/>
      <c r="Q133" s="51"/>
      <c r="R133" s="52"/>
    </row>
    <row r="134" spans="2:18">
      <c r="B134" s="47"/>
      <c r="C134" s="48"/>
      <c r="D134" s="49"/>
      <c r="E134" s="49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53"/>
    </row>
    <row r="135" spans="2:18">
      <c r="B135" s="60"/>
      <c r="C135" s="61"/>
      <c r="D135" s="62"/>
      <c r="E135" s="94"/>
      <c r="F135" s="34">
        <f t="shared" ref="F135:R135" si="58">SUM(F127:F133)</f>
        <v>623.44158628487457</v>
      </c>
      <c r="G135" s="34">
        <f t="shared" si="58"/>
        <v>872.8182207988242</v>
      </c>
      <c r="H135" s="34">
        <f t="shared" si="58"/>
        <v>1221.945509118354</v>
      </c>
      <c r="I135" s="34">
        <f t="shared" si="58"/>
        <v>1710.7237127656954</v>
      </c>
      <c r="J135" s="34">
        <f t="shared" si="58"/>
        <v>2395.0131978719742</v>
      </c>
      <c r="K135" s="34">
        <f t="shared" si="58"/>
        <v>3353.0184770207629</v>
      </c>
      <c r="L135" s="34">
        <f t="shared" si="58"/>
        <v>4694.2258678290691</v>
      </c>
      <c r="M135" s="34">
        <f t="shared" si="58"/>
        <v>6571.9162149606955</v>
      </c>
      <c r="N135" s="34">
        <f t="shared" si="58"/>
        <v>9200.6827009449735</v>
      </c>
      <c r="O135" s="34">
        <f t="shared" si="58"/>
        <v>12880.955781322964</v>
      </c>
      <c r="P135" s="34">
        <f t="shared" si="58"/>
        <v>18033.338093852144</v>
      </c>
      <c r="Q135" s="34">
        <f t="shared" si="58"/>
        <v>25246.673331393009</v>
      </c>
      <c r="R135" s="53">
        <f t="shared" si="58"/>
        <v>86804.75269416334</v>
      </c>
    </row>
  </sheetData>
  <pageMargins left="0.7" right="0.7" top="0.75" bottom="0.75" header="0.3" footer="0.3"/>
  <pageSetup orientation="portrait" r:id="rId1"/>
  <ignoredErrors>
    <ignoredError sqref="G36 H36:Q36" formula="1"/>
  </ignoredError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0070C0"/>
    <pageSetUpPr fitToPage="1"/>
  </sheetPr>
  <dimension ref="B3:N38"/>
  <sheetViews>
    <sheetView zoomScale="85" zoomScaleNormal="85" zoomScalePageLayoutView="55" workbookViewId="0">
      <selection activeCell="M11" sqref="M11"/>
    </sheetView>
  </sheetViews>
  <sheetFormatPr defaultRowHeight="12.75"/>
  <cols>
    <col min="1" max="1" width="5.140625" style="25" customWidth="1"/>
    <col min="2" max="2" width="7.7109375" style="25" customWidth="1"/>
    <col min="3" max="3" width="17.28515625" style="25" customWidth="1"/>
    <col min="4" max="4" width="12.7109375" style="25" customWidth="1"/>
    <col min="5" max="12" width="12.85546875" style="25" customWidth="1"/>
    <col min="13" max="13" width="14.140625" style="25" customWidth="1"/>
    <col min="14" max="14" width="12.85546875" style="25" customWidth="1"/>
    <col min="15" max="16384" width="9.140625" style="25"/>
  </cols>
  <sheetData>
    <row r="3" spans="2:14" ht="19.5">
      <c r="B3" s="1" t="s">
        <v>1665</v>
      </c>
      <c r="C3" s="2"/>
      <c r="D3" s="2"/>
      <c r="E3" s="2"/>
    </row>
    <row r="4" spans="2:14">
      <c r="B4" s="3" t="s">
        <v>103</v>
      </c>
      <c r="C4" s="2"/>
      <c r="D4" s="2"/>
      <c r="E4" s="2"/>
    </row>
    <row r="6" spans="2:14" ht="8.25" customHeight="1"/>
    <row r="7" spans="2:14">
      <c r="B7" s="38" t="s">
        <v>48</v>
      </c>
      <c r="C7" s="39"/>
      <c r="D7" s="40"/>
      <c r="E7" s="40"/>
      <c r="F7" s="40"/>
      <c r="G7" s="40"/>
      <c r="H7" s="40"/>
      <c r="I7" s="40"/>
      <c r="J7" s="40"/>
      <c r="K7" s="40"/>
      <c r="L7" s="40"/>
      <c r="M7" s="40"/>
      <c r="N7" s="66"/>
    </row>
    <row r="8" spans="2:14" ht="15.75">
      <c r="B8" s="42"/>
      <c r="C8" s="43"/>
      <c r="D8" s="44" t="s">
        <v>55</v>
      </c>
      <c r="E8" s="126" t="s">
        <v>106</v>
      </c>
      <c r="F8" s="126" t="s">
        <v>107</v>
      </c>
      <c r="G8" s="126" t="s">
        <v>108</v>
      </c>
      <c r="H8" s="126" t="s">
        <v>109</v>
      </c>
      <c r="I8" s="126" t="s">
        <v>110</v>
      </c>
      <c r="J8" s="126" t="s">
        <v>111</v>
      </c>
      <c r="K8" s="126" t="s">
        <v>112</v>
      </c>
      <c r="L8" s="126" t="s">
        <v>35</v>
      </c>
      <c r="M8" s="126" t="s">
        <v>995</v>
      </c>
      <c r="N8" s="127" t="s">
        <v>156</v>
      </c>
    </row>
    <row r="9" spans="2:14">
      <c r="B9" s="47"/>
      <c r="C9" s="48"/>
      <c r="D9" s="49"/>
      <c r="E9" s="58"/>
      <c r="F9" s="58"/>
      <c r="G9" s="58"/>
      <c r="H9" s="58"/>
      <c r="I9" s="58"/>
      <c r="J9" s="58"/>
      <c r="K9" s="58"/>
      <c r="L9" s="58"/>
      <c r="M9" s="58"/>
      <c r="N9" s="69"/>
    </row>
    <row r="10" spans="2:14">
      <c r="B10" s="60" t="s">
        <v>99</v>
      </c>
      <c r="C10" s="61"/>
      <c r="D10" s="62" t="s">
        <v>54</v>
      </c>
      <c r="E10" s="101">
        <v>3</v>
      </c>
      <c r="F10" s="101">
        <v>5</v>
      </c>
      <c r="G10" s="101">
        <v>10</v>
      </c>
      <c r="H10" s="101">
        <v>10</v>
      </c>
      <c r="I10" s="101">
        <v>1</v>
      </c>
      <c r="J10" s="101">
        <v>1</v>
      </c>
      <c r="K10" s="101">
        <v>1</v>
      </c>
      <c r="L10" s="102">
        <f>AVERAGE(E10:K10)</f>
        <v>4.4285714285714288</v>
      </c>
      <c r="M10" s="102">
        <v>1.5</v>
      </c>
      <c r="N10" s="103">
        <f>L10*M10</f>
        <v>6.6428571428571432</v>
      </c>
    </row>
    <row r="11" spans="2:14">
      <c r="E11" s="72"/>
      <c r="F11" s="72"/>
      <c r="G11" s="72"/>
      <c r="H11" s="72"/>
      <c r="I11" s="72"/>
      <c r="J11" s="72"/>
      <c r="K11" s="72"/>
      <c r="L11" s="72"/>
      <c r="M11" s="72"/>
      <c r="N11" s="72"/>
    </row>
    <row r="12" spans="2:14">
      <c r="B12" s="38" t="s">
        <v>48</v>
      </c>
      <c r="C12" s="39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66"/>
    </row>
    <row r="13" spans="2:14">
      <c r="B13" s="42"/>
      <c r="C13" s="43"/>
      <c r="D13" s="44" t="s">
        <v>55</v>
      </c>
      <c r="E13" s="67" t="str">
        <f>E8</f>
        <v>[1] Medic</v>
      </c>
      <c r="F13" s="67" t="str">
        <f t="shared" ref="F13:K13" si="0">F8</f>
        <v>[2] Medlatec</v>
      </c>
      <c r="G13" s="67" t="str">
        <f t="shared" si="0"/>
        <v>[3] Diag</v>
      </c>
      <c r="H13" s="67" t="str">
        <f t="shared" si="0"/>
        <v>[4] VietSing</v>
      </c>
      <c r="I13" s="67" t="str">
        <f t="shared" si="0"/>
        <v>[5] Bach Mai</v>
      </c>
      <c r="J13" s="67" t="str">
        <f t="shared" si="0"/>
        <v>[6] UMC</v>
      </c>
      <c r="K13" s="67" t="str">
        <f t="shared" si="0"/>
        <v>[7] Cho Ray</v>
      </c>
      <c r="L13" s="67" t="s">
        <v>35</v>
      </c>
      <c r="M13" s="67" t="s">
        <v>36</v>
      </c>
      <c r="N13" s="68" t="s">
        <v>37</v>
      </c>
    </row>
    <row r="14" spans="2:14">
      <c r="B14" s="47"/>
      <c r="C14" s="48"/>
      <c r="D14" s="49"/>
      <c r="E14" s="58"/>
      <c r="F14" s="58"/>
      <c r="G14" s="58"/>
      <c r="H14" s="58"/>
      <c r="I14" s="58"/>
      <c r="J14" s="58"/>
      <c r="K14" s="58"/>
      <c r="L14" s="58"/>
      <c r="M14" s="58"/>
      <c r="N14" s="69"/>
    </row>
    <row r="15" spans="2:14">
      <c r="B15" s="47" t="s">
        <v>39</v>
      </c>
      <c r="C15" s="48"/>
      <c r="D15" s="49" t="s">
        <v>54</v>
      </c>
      <c r="E15" s="70">
        <v>1.5</v>
      </c>
      <c r="F15" s="70">
        <v>5</v>
      </c>
      <c r="G15" s="70">
        <v>2.5</v>
      </c>
      <c r="H15" s="70">
        <v>7</v>
      </c>
      <c r="I15" s="70">
        <v>2</v>
      </c>
      <c r="J15" s="70">
        <v>1</v>
      </c>
      <c r="K15" s="70"/>
      <c r="L15" s="58">
        <f>AVERAGE(E15:K15)</f>
        <v>3.1666666666666665</v>
      </c>
      <c r="M15" s="58">
        <v>1</v>
      </c>
      <c r="N15" s="69">
        <f>L15*M15</f>
        <v>3.1666666666666665</v>
      </c>
    </row>
    <row r="16" spans="2:14">
      <c r="B16" s="47" t="s">
        <v>41</v>
      </c>
      <c r="C16" s="48"/>
      <c r="D16" s="49" t="s">
        <v>54</v>
      </c>
      <c r="E16" s="70">
        <v>2.5</v>
      </c>
      <c r="F16" s="70">
        <f>125500/20000</f>
        <v>6.2750000000000004</v>
      </c>
      <c r="G16" s="70">
        <f>64000/20000</f>
        <v>3.2</v>
      </c>
      <c r="H16" s="70">
        <f>175000/20000</f>
        <v>8.75</v>
      </c>
      <c r="I16" s="70">
        <v>3</v>
      </c>
      <c r="J16" s="70">
        <v>2.5</v>
      </c>
      <c r="K16" s="70"/>
      <c r="L16" s="58">
        <f t="shared" ref="L16:L24" si="1">AVERAGE(E16:K16)</f>
        <v>4.3708333333333336</v>
      </c>
      <c r="M16" s="58">
        <f>M15</f>
        <v>1</v>
      </c>
      <c r="N16" s="69">
        <f t="shared" ref="N16:N24" si="2">L16*M16</f>
        <v>4.3708333333333336</v>
      </c>
    </row>
    <row r="17" spans="2:14">
      <c r="B17" s="47" t="s">
        <v>40</v>
      </c>
      <c r="C17" s="48"/>
      <c r="D17" s="49" t="s">
        <v>62</v>
      </c>
      <c r="E17" s="70">
        <v>5</v>
      </c>
      <c r="F17" s="70">
        <v>10</v>
      </c>
      <c r="G17" s="70">
        <v>6</v>
      </c>
      <c r="H17" s="70">
        <v>10</v>
      </c>
      <c r="I17" s="104" t="s">
        <v>900</v>
      </c>
      <c r="J17" s="70">
        <v>5</v>
      </c>
      <c r="K17" s="70"/>
      <c r="L17" s="58">
        <f t="shared" si="1"/>
        <v>7.2</v>
      </c>
      <c r="M17" s="58">
        <f t="shared" ref="M17:M24" si="3">M16</f>
        <v>1</v>
      </c>
      <c r="N17" s="69">
        <f t="shared" si="2"/>
        <v>7.2</v>
      </c>
    </row>
    <row r="18" spans="2:14">
      <c r="B18" s="47" t="s">
        <v>38</v>
      </c>
      <c r="C18" s="48"/>
      <c r="D18" s="49" t="s">
        <v>62</v>
      </c>
      <c r="E18" s="70">
        <v>3</v>
      </c>
      <c r="F18" s="70">
        <v>5</v>
      </c>
      <c r="G18" s="70">
        <v>4</v>
      </c>
      <c r="H18" s="70">
        <v>7</v>
      </c>
      <c r="I18" s="70">
        <v>5</v>
      </c>
      <c r="J18" s="70">
        <v>3</v>
      </c>
      <c r="K18" s="70"/>
      <c r="L18" s="58">
        <f t="shared" si="1"/>
        <v>4.5</v>
      </c>
      <c r="M18" s="58">
        <f t="shared" si="3"/>
        <v>1</v>
      </c>
      <c r="N18" s="69">
        <f t="shared" si="2"/>
        <v>4.5</v>
      </c>
    </row>
    <row r="19" spans="2:14">
      <c r="B19" s="47" t="s">
        <v>42</v>
      </c>
      <c r="C19" s="48"/>
      <c r="D19" s="49" t="s">
        <v>62</v>
      </c>
      <c r="E19" s="70">
        <v>4</v>
      </c>
      <c r="F19" s="70">
        <v>5</v>
      </c>
      <c r="G19" s="70"/>
      <c r="H19" s="70">
        <v>6</v>
      </c>
      <c r="I19" s="104" t="s">
        <v>900</v>
      </c>
      <c r="J19" s="70">
        <v>0.5</v>
      </c>
      <c r="K19" s="70"/>
      <c r="L19" s="58">
        <f t="shared" si="1"/>
        <v>3.875</v>
      </c>
      <c r="M19" s="58">
        <f t="shared" si="3"/>
        <v>1</v>
      </c>
      <c r="N19" s="69">
        <f t="shared" si="2"/>
        <v>3.875</v>
      </c>
    </row>
    <row r="20" spans="2:14">
      <c r="B20" s="47" t="s">
        <v>56</v>
      </c>
      <c r="C20" s="48"/>
      <c r="D20" s="49" t="s">
        <v>62</v>
      </c>
      <c r="E20" s="70">
        <v>5</v>
      </c>
      <c r="F20" s="70">
        <v>7.5</v>
      </c>
      <c r="G20" s="104" t="s">
        <v>901</v>
      </c>
      <c r="H20" s="104" t="s">
        <v>901</v>
      </c>
      <c r="I20" s="104"/>
      <c r="J20" s="70"/>
      <c r="K20" s="70"/>
      <c r="L20" s="58">
        <f t="shared" si="1"/>
        <v>6.25</v>
      </c>
      <c r="M20" s="58">
        <f t="shared" si="3"/>
        <v>1</v>
      </c>
      <c r="N20" s="69">
        <f t="shared" si="2"/>
        <v>6.25</v>
      </c>
    </row>
    <row r="21" spans="2:14">
      <c r="B21" s="47" t="s">
        <v>58</v>
      </c>
      <c r="C21" s="48"/>
      <c r="D21" s="49" t="s">
        <v>57</v>
      </c>
      <c r="E21" s="70">
        <v>50</v>
      </c>
      <c r="F21" s="70">
        <f>750000/20000</f>
        <v>37.5</v>
      </c>
      <c r="G21" s="70">
        <f>1200000/20000</f>
        <v>60</v>
      </c>
      <c r="H21" s="104" t="s">
        <v>901</v>
      </c>
      <c r="I21" s="104"/>
      <c r="J21" s="70"/>
      <c r="K21" s="70"/>
      <c r="L21" s="58">
        <f t="shared" si="1"/>
        <v>49.166666666666664</v>
      </c>
      <c r="M21" s="58">
        <f t="shared" si="3"/>
        <v>1</v>
      </c>
      <c r="N21" s="69">
        <f t="shared" si="2"/>
        <v>49.166666666666664</v>
      </c>
    </row>
    <row r="22" spans="2:14">
      <c r="B22" s="47" t="s">
        <v>59</v>
      </c>
      <c r="C22" s="48"/>
      <c r="D22" s="49" t="s">
        <v>57</v>
      </c>
      <c r="E22" s="70">
        <v>60</v>
      </c>
      <c r="F22" s="70">
        <v>70</v>
      </c>
      <c r="G22" s="104">
        <v>60</v>
      </c>
      <c r="H22" s="104" t="s">
        <v>901</v>
      </c>
      <c r="I22" s="70"/>
      <c r="J22" s="70"/>
      <c r="K22" s="70"/>
      <c r="L22" s="58">
        <f t="shared" si="1"/>
        <v>63.333333333333336</v>
      </c>
      <c r="M22" s="58">
        <f t="shared" si="3"/>
        <v>1</v>
      </c>
      <c r="N22" s="69">
        <f t="shared" si="2"/>
        <v>63.333333333333336</v>
      </c>
    </row>
    <row r="23" spans="2:14">
      <c r="B23" s="47" t="s">
        <v>60</v>
      </c>
      <c r="C23" s="48"/>
      <c r="D23" s="49" t="s">
        <v>57</v>
      </c>
      <c r="E23" s="70"/>
      <c r="F23" s="70"/>
      <c r="G23" s="70">
        <v>7</v>
      </c>
      <c r="H23" s="104" t="s">
        <v>901</v>
      </c>
      <c r="I23" s="70"/>
      <c r="J23" s="70"/>
      <c r="K23" s="70"/>
      <c r="L23" s="58">
        <f t="shared" si="1"/>
        <v>7</v>
      </c>
      <c r="M23" s="58">
        <f t="shared" si="3"/>
        <v>1</v>
      </c>
      <c r="N23" s="69">
        <f t="shared" si="2"/>
        <v>7</v>
      </c>
    </row>
    <row r="24" spans="2:14">
      <c r="B24" s="47" t="s">
        <v>61</v>
      </c>
      <c r="C24" s="48"/>
      <c r="D24" s="49" t="s">
        <v>57</v>
      </c>
      <c r="E24" s="70"/>
      <c r="F24" s="325">
        <v>55</v>
      </c>
      <c r="G24" s="104" t="s">
        <v>901</v>
      </c>
      <c r="H24" s="104">
        <v>50</v>
      </c>
      <c r="I24" s="70"/>
      <c r="J24" s="70"/>
      <c r="K24" s="70"/>
      <c r="L24" s="58">
        <f t="shared" si="1"/>
        <v>52.5</v>
      </c>
      <c r="M24" s="58">
        <f t="shared" si="3"/>
        <v>1</v>
      </c>
      <c r="N24" s="69">
        <f t="shared" si="2"/>
        <v>52.5</v>
      </c>
    </row>
    <row r="25" spans="2:14">
      <c r="B25" s="47"/>
      <c r="C25" s="48"/>
      <c r="D25" s="49"/>
      <c r="E25" s="70"/>
      <c r="F25" s="70"/>
      <c r="G25" s="70"/>
      <c r="H25" s="70"/>
      <c r="I25" s="104"/>
      <c r="J25" s="70"/>
      <c r="K25" s="70"/>
      <c r="L25" s="58"/>
      <c r="M25" s="58"/>
      <c r="N25" s="69"/>
    </row>
    <row r="26" spans="2:14">
      <c r="B26" s="60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71"/>
    </row>
    <row r="27" spans="2:14">
      <c r="E27" s="72"/>
      <c r="F27" s="72"/>
      <c r="G27" s="72"/>
      <c r="H27" s="72"/>
      <c r="I27" s="72"/>
      <c r="J27" s="72"/>
      <c r="K27" s="72"/>
      <c r="L27" s="72"/>
      <c r="M27" s="72"/>
      <c r="N27" s="72"/>
    </row>
    <row r="28" spans="2:14">
      <c r="B28" s="38" t="s">
        <v>47</v>
      </c>
      <c r="C28" s="39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66"/>
    </row>
    <row r="29" spans="2:14">
      <c r="B29" s="42"/>
      <c r="C29" s="43"/>
      <c r="D29" s="44"/>
      <c r="E29" s="67" t="str">
        <f>E8</f>
        <v>[1] Medic</v>
      </c>
      <c r="F29" s="67" t="str">
        <f t="shared" ref="F29:K29" si="4">F8</f>
        <v>[2] Medlatec</v>
      </c>
      <c r="G29" s="67" t="str">
        <f t="shared" si="4"/>
        <v>[3] Diag</v>
      </c>
      <c r="H29" s="67" t="str">
        <f t="shared" si="4"/>
        <v>[4] VietSing</v>
      </c>
      <c r="I29" s="67" t="str">
        <f t="shared" si="4"/>
        <v>[5] Bach Mai</v>
      </c>
      <c r="J29" s="67" t="str">
        <f t="shared" si="4"/>
        <v>[6] UMC</v>
      </c>
      <c r="K29" s="67" t="str">
        <f t="shared" si="4"/>
        <v>[7] Cho Ray</v>
      </c>
      <c r="L29" s="67" t="s">
        <v>35</v>
      </c>
      <c r="M29" s="67" t="s">
        <v>36</v>
      </c>
      <c r="N29" s="68" t="s">
        <v>37</v>
      </c>
    </row>
    <row r="30" spans="2:14">
      <c r="B30" s="47"/>
      <c r="C30" s="48"/>
      <c r="D30" s="49"/>
      <c r="E30" s="58"/>
      <c r="F30" s="58"/>
      <c r="G30" s="58"/>
      <c r="H30" s="58"/>
      <c r="I30" s="58"/>
      <c r="J30" s="58"/>
      <c r="K30" s="58"/>
      <c r="L30" s="58"/>
      <c r="M30" s="58"/>
      <c r="N30" s="69"/>
    </row>
    <row r="31" spans="2:14">
      <c r="B31" s="47" t="s">
        <v>23</v>
      </c>
      <c r="C31" s="48"/>
      <c r="D31" s="49" t="s">
        <v>54</v>
      </c>
      <c r="E31" s="70">
        <v>3</v>
      </c>
      <c r="F31" s="70">
        <v>6.5</v>
      </c>
      <c r="G31" s="70"/>
      <c r="H31" s="70">
        <v>10</v>
      </c>
      <c r="I31" s="70">
        <v>3</v>
      </c>
      <c r="J31" s="70">
        <v>3.5</v>
      </c>
      <c r="K31" s="70">
        <v>3</v>
      </c>
      <c r="L31" s="58">
        <f>AVERAGE(E31:K31)</f>
        <v>4.833333333333333</v>
      </c>
      <c r="M31" s="58">
        <v>1</v>
      </c>
      <c r="N31" s="69">
        <f t="shared" ref="N31:N36" si="5">L31*M31</f>
        <v>4.833333333333333</v>
      </c>
    </row>
    <row r="32" spans="2:14">
      <c r="B32" s="47" t="s">
        <v>26</v>
      </c>
      <c r="C32" s="48"/>
      <c r="D32" s="49" t="s">
        <v>54</v>
      </c>
      <c r="E32" s="70">
        <v>3</v>
      </c>
      <c r="F32" s="70">
        <v>6</v>
      </c>
      <c r="G32" s="70"/>
      <c r="H32" s="70">
        <v>10</v>
      </c>
      <c r="I32" s="70">
        <v>3</v>
      </c>
      <c r="J32" s="70">
        <v>2</v>
      </c>
      <c r="K32" s="325">
        <v>10</v>
      </c>
      <c r="L32" s="58">
        <f t="shared" ref="L32:L36" si="6">AVERAGE(E32:K32)</f>
        <v>5.666666666666667</v>
      </c>
      <c r="M32" s="58">
        <v>1</v>
      </c>
      <c r="N32" s="69">
        <f t="shared" si="5"/>
        <v>5.666666666666667</v>
      </c>
    </row>
    <row r="33" spans="2:14">
      <c r="B33" s="47" t="s">
        <v>64</v>
      </c>
      <c r="C33" s="48"/>
      <c r="D33" s="49" t="s">
        <v>63</v>
      </c>
      <c r="E33" s="70">
        <v>8.5</v>
      </c>
      <c r="F33" s="70">
        <v>10</v>
      </c>
      <c r="G33" s="104" t="s">
        <v>901</v>
      </c>
      <c r="H33" s="70">
        <v>15</v>
      </c>
      <c r="I33" s="70">
        <v>9</v>
      </c>
      <c r="J33" s="70">
        <v>8</v>
      </c>
      <c r="K33" s="70">
        <v>9</v>
      </c>
      <c r="L33" s="58">
        <f t="shared" si="6"/>
        <v>9.9166666666666661</v>
      </c>
      <c r="M33" s="58">
        <v>1</v>
      </c>
      <c r="N33" s="69">
        <f t="shared" si="5"/>
        <v>9.9166666666666661</v>
      </c>
    </row>
    <row r="34" spans="2:14">
      <c r="B34" s="47" t="s">
        <v>52</v>
      </c>
      <c r="C34" s="48"/>
      <c r="D34" s="49" t="s">
        <v>63</v>
      </c>
      <c r="E34" s="70">
        <v>50</v>
      </c>
      <c r="F34" s="70">
        <f>900000/20000</f>
        <v>45</v>
      </c>
      <c r="G34" s="104" t="s">
        <v>901</v>
      </c>
      <c r="H34" s="104" t="s">
        <v>901</v>
      </c>
      <c r="I34" s="70">
        <v>50</v>
      </c>
      <c r="J34" s="70">
        <v>50</v>
      </c>
      <c r="K34" s="70">
        <v>50</v>
      </c>
      <c r="L34" s="58">
        <f t="shared" si="6"/>
        <v>49</v>
      </c>
      <c r="M34" s="58">
        <v>1</v>
      </c>
      <c r="N34" s="69">
        <f t="shared" si="5"/>
        <v>49</v>
      </c>
    </row>
    <row r="35" spans="2:14">
      <c r="B35" s="47" t="s">
        <v>51</v>
      </c>
      <c r="C35" s="48"/>
      <c r="D35" s="49" t="s">
        <v>57</v>
      </c>
      <c r="E35" s="70">
        <v>100</v>
      </c>
      <c r="F35" s="104" t="s">
        <v>901</v>
      </c>
      <c r="G35" s="104" t="s">
        <v>901</v>
      </c>
      <c r="H35" s="104" t="s">
        <v>901</v>
      </c>
      <c r="I35" s="70">
        <v>80</v>
      </c>
      <c r="J35" s="70">
        <v>100</v>
      </c>
      <c r="K35" s="70">
        <v>100</v>
      </c>
      <c r="L35" s="58">
        <f t="shared" si="6"/>
        <v>95</v>
      </c>
      <c r="M35" s="58">
        <v>1</v>
      </c>
      <c r="N35" s="69">
        <f t="shared" si="5"/>
        <v>95</v>
      </c>
    </row>
    <row r="36" spans="2:14">
      <c r="B36" s="47" t="s">
        <v>53</v>
      </c>
      <c r="C36" s="48"/>
      <c r="D36" s="49" t="s">
        <v>57</v>
      </c>
      <c r="E36" s="70">
        <v>1000</v>
      </c>
      <c r="F36" s="104" t="s">
        <v>901</v>
      </c>
      <c r="G36" s="104" t="s">
        <v>901</v>
      </c>
      <c r="H36" s="70">
        <v>1500</v>
      </c>
      <c r="I36" s="70">
        <f>28000/20</f>
        <v>1400</v>
      </c>
      <c r="J36" s="70">
        <v>1200</v>
      </c>
      <c r="K36" s="70">
        <f>25000/20</f>
        <v>1250</v>
      </c>
      <c r="L36" s="58">
        <f t="shared" si="6"/>
        <v>1270</v>
      </c>
      <c r="M36" s="58">
        <v>1</v>
      </c>
      <c r="N36" s="69">
        <f t="shared" si="5"/>
        <v>1270</v>
      </c>
    </row>
    <row r="37" spans="2:14">
      <c r="B37" s="47"/>
      <c r="C37" s="48"/>
      <c r="D37" s="49"/>
      <c r="E37" s="70"/>
      <c r="F37" s="104"/>
      <c r="G37" s="70"/>
      <c r="H37" s="70"/>
      <c r="I37" s="70"/>
      <c r="J37" s="70"/>
      <c r="K37" s="70"/>
      <c r="L37" s="58"/>
      <c r="M37" s="58"/>
      <c r="N37" s="69"/>
    </row>
    <row r="38" spans="2:14">
      <c r="B38" s="60"/>
      <c r="C38" s="61"/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71"/>
    </row>
  </sheetData>
  <pageMargins left="0.7" right="0.7" top="0.75" bottom="0.75" header="0.3" footer="0.3"/>
  <pageSetup scale="70"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0070C0"/>
  </sheetPr>
  <dimension ref="B2:Z36"/>
  <sheetViews>
    <sheetView topLeftCell="C1" zoomScale="85" zoomScaleNormal="85" workbookViewId="0">
      <selection activeCell="C41" sqref="C41"/>
    </sheetView>
  </sheetViews>
  <sheetFormatPr defaultRowHeight="12.75"/>
  <cols>
    <col min="1" max="1" width="1.7109375" style="25" customWidth="1"/>
    <col min="2" max="2" width="9.140625" style="25"/>
    <col min="3" max="3" width="17.42578125" style="25" customWidth="1"/>
    <col min="4" max="5" width="9.140625" style="453" customWidth="1"/>
    <col min="6" max="6" width="11" style="453" customWidth="1"/>
    <col min="7" max="9" width="9.140625" style="453" customWidth="1"/>
    <col min="10" max="12" width="9.140625" style="453" hidden="1" customWidth="1"/>
    <col min="13" max="14" width="9.140625" style="453" customWidth="1"/>
    <col min="15" max="15" width="10.7109375" style="453" customWidth="1"/>
    <col min="16" max="23" width="9.140625" style="453" customWidth="1"/>
    <col min="24" max="24" width="10.28515625" style="453" bestFit="1" customWidth="1"/>
    <col min="25" max="25" width="11" style="453" customWidth="1"/>
    <col min="26" max="16384" width="9.140625" style="25"/>
  </cols>
  <sheetData>
    <row r="2" spans="2:26" ht="19.5">
      <c r="B2" s="1" t="s">
        <v>930</v>
      </c>
      <c r="C2" s="816"/>
    </row>
    <row r="3" spans="2:26">
      <c r="B3" s="3" t="s">
        <v>103</v>
      </c>
      <c r="C3" s="816"/>
    </row>
    <row r="5" spans="2:26" s="817" customFormat="1">
      <c r="B5" s="417" t="s">
        <v>931</v>
      </c>
      <c r="C5" s="417"/>
      <c r="D5" s="417"/>
      <c r="E5" s="417"/>
      <c r="F5" s="417"/>
      <c r="G5" s="417"/>
      <c r="H5" s="417"/>
      <c r="I5" s="417"/>
      <c r="J5" s="417"/>
      <c r="K5" s="417"/>
      <c r="L5" s="417"/>
      <c r="M5" s="417"/>
      <c r="N5" s="417"/>
      <c r="O5" s="417"/>
      <c r="P5" s="417"/>
      <c r="Q5" s="417"/>
      <c r="R5" s="417"/>
      <c r="S5" s="417"/>
      <c r="T5" s="417"/>
      <c r="U5" s="417"/>
      <c r="V5" s="417"/>
      <c r="W5" s="417"/>
      <c r="X5" s="417"/>
      <c r="Y5" s="417"/>
    </row>
    <row r="6" spans="2:26">
      <c r="B6" s="31"/>
      <c r="C6" s="31"/>
      <c r="D6" s="31">
        <v>41275</v>
      </c>
      <c r="E6" s="31">
        <v>41306</v>
      </c>
      <c r="F6" s="31">
        <v>41334</v>
      </c>
      <c r="G6" s="31">
        <v>41365</v>
      </c>
      <c r="H6" s="31">
        <v>41395</v>
      </c>
      <c r="I6" s="31">
        <v>41426</v>
      </c>
      <c r="J6" s="31"/>
      <c r="K6" s="31"/>
      <c r="L6" s="31"/>
      <c r="M6" s="31">
        <v>41456</v>
      </c>
      <c r="N6" s="31">
        <v>41487</v>
      </c>
      <c r="O6" s="31">
        <v>41518</v>
      </c>
      <c r="P6" s="31">
        <v>41548</v>
      </c>
      <c r="Q6" s="31">
        <v>41579</v>
      </c>
      <c r="R6" s="31">
        <v>41609</v>
      </c>
      <c r="S6" s="31">
        <v>41640</v>
      </c>
      <c r="T6" s="31">
        <v>41671</v>
      </c>
      <c r="U6" s="31">
        <v>41699</v>
      </c>
      <c r="V6" s="31">
        <v>41730</v>
      </c>
      <c r="W6" s="31">
        <v>41760</v>
      </c>
      <c r="X6" s="31">
        <v>41791</v>
      </c>
      <c r="Y6" s="106" t="s">
        <v>20</v>
      </c>
    </row>
    <row r="7" spans="2:26">
      <c r="D7" s="818"/>
      <c r="E7" s="818"/>
      <c r="F7" s="818"/>
      <c r="G7" s="818"/>
      <c r="H7" s="818"/>
      <c r="I7" s="818"/>
      <c r="J7" s="818"/>
      <c r="K7" s="818"/>
      <c r="L7" s="818"/>
      <c r="M7" s="818"/>
      <c r="N7" s="818"/>
      <c r="O7" s="818"/>
      <c r="P7" s="818"/>
      <c r="Q7" s="818"/>
      <c r="R7" s="818"/>
      <c r="S7" s="818"/>
      <c r="T7" s="818"/>
      <c r="U7" s="818"/>
      <c r="V7" s="818"/>
      <c r="W7" s="818"/>
      <c r="X7" s="818"/>
      <c r="Y7" s="818"/>
    </row>
    <row r="8" spans="2:26" s="374" customFormat="1" ht="13.5" thickBot="1">
      <c r="B8" s="819" t="s">
        <v>932</v>
      </c>
      <c r="C8" s="820"/>
      <c r="D8" s="821"/>
      <c r="E8" s="821"/>
      <c r="F8" s="821"/>
      <c r="G8" s="821"/>
      <c r="H8" s="821"/>
      <c r="I8" s="821"/>
      <c r="J8" s="821"/>
      <c r="K8" s="821"/>
      <c r="L8" s="821"/>
      <c r="M8" s="821"/>
      <c r="N8" s="821"/>
      <c r="O8" s="821"/>
      <c r="P8" s="821"/>
      <c r="Q8" s="821"/>
      <c r="R8" s="821"/>
      <c r="S8" s="821"/>
      <c r="T8" s="821"/>
      <c r="U8" s="821"/>
      <c r="V8" s="822"/>
      <c r="W8" s="822"/>
      <c r="X8" s="822"/>
      <c r="Y8" s="822"/>
      <c r="Z8" s="668" t="s">
        <v>238</v>
      </c>
    </row>
    <row r="9" spans="2:26">
      <c r="B9" s="823" t="str">
        <f>'App 6_Yr 1 Capex'!C35</f>
        <v>Fixtures &amp; Fittings</v>
      </c>
      <c r="C9" s="824"/>
      <c r="D9" s="832">
        <f>'App 6_Yr 1 Capex'!H39</f>
        <v>0</v>
      </c>
      <c r="E9" s="832">
        <f>'App 6_Yr 1 Capex'!I39</f>
        <v>0</v>
      </c>
      <c r="F9" s="832">
        <f>'App 6_Yr 1 Capex'!J39</f>
        <v>151100</v>
      </c>
      <c r="G9" s="832">
        <f>'App 6_Yr 1 Capex'!K39</f>
        <v>0</v>
      </c>
      <c r="H9" s="832">
        <f>'App 6_Yr 1 Capex'!L39</f>
        <v>0</v>
      </c>
      <c r="I9" s="832">
        <f>'App 6_Yr 1 Capex'!M39</f>
        <v>0</v>
      </c>
      <c r="J9" s="832"/>
      <c r="K9" s="832"/>
      <c r="L9" s="832"/>
      <c r="M9" s="832">
        <f>'App 6_Yr 1 Capex'!Q39</f>
        <v>0</v>
      </c>
      <c r="N9" s="832">
        <f>'App 6_Yr 1 Capex'!R39</f>
        <v>0</v>
      </c>
      <c r="O9" s="832">
        <f>'App 6_Yr 1 Capex'!S39</f>
        <v>0</v>
      </c>
      <c r="P9" s="832">
        <f>'App 6_Yr 1 Capex'!T39</f>
        <v>0</v>
      </c>
      <c r="Q9" s="832">
        <f>'App 6_Yr 1 Capex'!U39</f>
        <v>0</v>
      </c>
      <c r="R9" s="832">
        <f>'App 6_Yr 1 Capex'!V39</f>
        <v>0</v>
      </c>
      <c r="S9" s="832">
        <f>'App 6_Yr 1 Capex'!W39</f>
        <v>0</v>
      </c>
      <c r="T9" s="832">
        <f>'App 6_Yr 1 Capex'!X39</f>
        <v>0</v>
      </c>
      <c r="U9" s="832">
        <f>'App 6_Yr 1 Capex'!Y39</f>
        <v>0</v>
      </c>
      <c r="V9" s="832">
        <f>'App 6_Yr 1 Capex'!Z39</f>
        <v>0</v>
      </c>
      <c r="W9" s="832">
        <f>'App 6_Yr 1 Capex'!AA39</f>
        <v>0</v>
      </c>
      <c r="X9" s="832">
        <f>'App 6_Yr 1 Capex'!AB39</f>
        <v>0</v>
      </c>
      <c r="Y9" s="832">
        <f>SUM(D9:X9)</f>
        <v>151100</v>
      </c>
      <c r="Z9" s="860">
        <f>SUM('App 6_Yr 1 Capex'!E10:E11)-'App 4_Yr1 Cashflow'!Y9</f>
        <v>0</v>
      </c>
    </row>
    <row r="10" spans="2:26">
      <c r="B10" s="823" t="str">
        <f>'App 6_Yr 1 Capex'!C41</f>
        <v>Emergency Room</v>
      </c>
      <c r="C10" s="824"/>
      <c r="D10" s="832">
        <f>'App 6_Yr 1 Capex'!H52</f>
        <v>0</v>
      </c>
      <c r="E10" s="832">
        <f>'App 6_Yr 1 Capex'!I52</f>
        <v>0</v>
      </c>
      <c r="F10" s="832">
        <f>'App 6_Yr 1 Capex'!J52</f>
        <v>16050</v>
      </c>
      <c r="G10" s="832">
        <f>'App 6_Yr 1 Capex'!K52</f>
        <v>0</v>
      </c>
      <c r="H10" s="832">
        <f>'App 6_Yr 1 Capex'!L52</f>
        <v>0</v>
      </c>
      <c r="I10" s="832">
        <f>'App 6_Yr 1 Capex'!M52</f>
        <v>0</v>
      </c>
      <c r="J10" s="832"/>
      <c r="K10" s="832"/>
      <c r="L10" s="832"/>
      <c r="M10" s="832">
        <f>'App 6_Yr 1 Capex'!Q52</f>
        <v>0</v>
      </c>
      <c r="N10" s="832">
        <f>'App 6_Yr 1 Capex'!R52</f>
        <v>0</v>
      </c>
      <c r="O10" s="832">
        <f>'App 6_Yr 1 Capex'!S52</f>
        <v>0</v>
      </c>
      <c r="P10" s="832">
        <f>'App 6_Yr 1 Capex'!T52</f>
        <v>0</v>
      </c>
      <c r="Q10" s="832">
        <f>'App 6_Yr 1 Capex'!U52</f>
        <v>0</v>
      </c>
      <c r="R10" s="832">
        <f>'App 6_Yr 1 Capex'!V52</f>
        <v>0</v>
      </c>
      <c r="S10" s="832">
        <f>'App 6_Yr 1 Capex'!W52</f>
        <v>0</v>
      </c>
      <c r="T10" s="832">
        <f>'App 6_Yr 1 Capex'!X52</f>
        <v>0</v>
      </c>
      <c r="U10" s="832">
        <f>'App 6_Yr 1 Capex'!Y52</f>
        <v>0</v>
      </c>
      <c r="V10" s="832">
        <f>'App 6_Yr 1 Capex'!Z52</f>
        <v>0</v>
      </c>
      <c r="W10" s="832">
        <f>'App 6_Yr 1 Capex'!AA52</f>
        <v>0</v>
      </c>
      <c r="X10" s="832">
        <f>'App 6_Yr 1 Capex'!AB52</f>
        <v>0</v>
      </c>
      <c r="Y10" s="832">
        <f t="shared" ref="Y10:Y17" si="0">SUM(D10:X10)</f>
        <v>16050</v>
      </c>
      <c r="Z10" s="860">
        <f>'App 6_Yr 1 Capex'!E12-'App 4_Yr1 Cashflow'!Y10</f>
        <v>0</v>
      </c>
    </row>
    <row r="11" spans="2:26">
      <c r="B11" s="823" t="str">
        <f>'App 6_Yr 1 Capex'!C54</f>
        <v>Patient Room</v>
      </c>
      <c r="C11" s="824"/>
      <c r="D11" s="832">
        <f>'App 6_Yr 1 Capex'!H58</f>
        <v>0</v>
      </c>
      <c r="E11" s="832">
        <f>'App 6_Yr 1 Capex'!I58</f>
        <v>0</v>
      </c>
      <c r="F11" s="832">
        <f>'App 6_Yr 1 Capex'!J58</f>
        <v>1250</v>
      </c>
      <c r="G11" s="832">
        <f>'App 6_Yr 1 Capex'!K58</f>
        <v>0</v>
      </c>
      <c r="H11" s="832">
        <f>'App 6_Yr 1 Capex'!L58</f>
        <v>0</v>
      </c>
      <c r="I11" s="832">
        <f>'App 6_Yr 1 Capex'!M58</f>
        <v>0</v>
      </c>
      <c r="J11" s="832"/>
      <c r="K11" s="832"/>
      <c r="L11" s="832"/>
      <c r="M11" s="832">
        <f>'App 6_Yr 1 Capex'!Q58</f>
        <v>0</v>
      </c>
      <c r="N11" s="832">
        <f>'App 6_Yr 1 Capex'!R58</f>
        <v>0</v>
      </c>
      <c r="O11" s="832">
        <f>'App 6_Yr 1 Capex'!S58</f>
        <v>0</v>
      </c>
      <c r="P11" s="832">
        <f>'App 6_Yr 1 Capex'!T58</f>
        <v>0</v>
      </c>
      <c r="Q11" s="832">
        <f>'App 6_Yr 1 Capex'!U58</f>
        <v>0</v>
      </c>
      <c r="R11" s="832">
        <f>'App 6_Yr 1 Capex'!V58</f>
        <v>0</v>
      </c>
      <c r="S11" s="832">
        <f>'App 6_Yr 1 Capex'!W58</f>
        <v>0</v>
      </c>
      <c r="T11" s="832">
        <f>'App 6_Yr 1 Capex'!X58</f>
        <v>0</v>
      </c>
      <c r="U11" s="832">
        <f>'App 6_Yr 1 Capex'!Y58</f>
        <v>0</v>
      </c>
      <c r="V11" s="832">
        <f>'App 6_Yr 1 Capex'!Z58</f>
        <v>0</v>
      </c>
      <c r="W11" s="832">
        <f>'App 6_Yr 1 Capex'!AA58</f>
        <v>0</v>
      </c>
      <c r="X11" s="832">
        <f>'App 6_Yr 1 Capex'!AB58</f>
        <v>0</v>
      </c>
      <c r="Y11" s="832">
        <f t="shared" si="0"/>
        <v>1250</v>
      </c>
      <c r="Z11" s="860">
        <f>'App 6_Yr 1 Capex'!E13-'App 4_Yr1 Cashflow'!Y11</f>
        <v>0</v>
      </c>
    </row>
    <row r="12" spans="2:26">
      <c r="B12" s="823" t="str">
        <f>'App 6_Yr 1 Capex'!C60</f>
        <v>Check-up</v>
      </c>
      <c r="C12" s="824"/>
      <c r="D12" s="832">
        <f>'App 6_Yr 1 Capex'!H96</f>
        <v>0</v>
      </c>
      <c r="E12" s="832">
        <f>'App 6_Yr 1 Capex'!I96</f>
        <v>0</v>
      </c>
      <c r="F12" s="832">
        <f>'App 6_Yr 1 Capex'!J96</f>
        <v>47730</v>
      </c>
      <c r="G12" s="832">
        <f>'App 6_Yr 1 Capex'!K96</f>
        <v>12000</v>
      </c>
      <c r="H12" s="832">
        <f>'App 6_Yr 1 Capex'!L96</f>
        <v>0</v>
      </c>
      <c r="I12" s="832">
        <f>'App 6_Yr 1 Capex'!M96</f>
        <v>0</v>
      </c>
      <c r="J12" s="832"/>
      <c r="K12" s="832"/>
      <c r="L12" s="832"/>
      <c r="M12" s="832">
        <f>'App 6_Yr 1 Capex'!Q96</f>
        <v>0</v>
      </c>
      <c r="N12" s="832">
        <f>'App 6_Yr 1 Capex'!R96</f>
        <v>0</v>
      </c>
      <c r="O12" s="832">
        <f>'App 6_Yr 1 Capex'!S96</f>
        <v>0</v>
      </c>
      <c r="P12" s="832">
        <f>'App 6_Yr 1 Capex'!T96</f>
        <v>0</v>
      </c>
      <c r="Q12" s="832">
        <f>'App 6_Yr 1 Capex'!U96</f>
        <v>0</v>
      </c>
      <c r="R12" s="832">
        <f>'App 6_Yr 1 Capex'!V96</f>
        <v>0</v>
      </c>
      <c r="S12" s="832">
        <f>'App 6_Yr 1 Capex'!W96</f>
        <v>0</v>
      </c>
      <c r="T12" s="832">
        <f>'App 6_Yr 1 Capex'!X96</f>
        <v>0</v>
      </c>
      <c r="U12" s="832">
        <f>'App 6_Yr 1 Capex'!Y96</f>
        <v>0</v>
      </c>
      <c r="V12" s="832">
        <f>'App 6_Yr 1 Capex'!Z96</f>
        <v>0</v>
      </c>
      <c r="W12" s="832">
        <f>'App 6_Yr 1 Capex'!AA96</f>
        <v>0</v>
      </c>
      <c r="X12" s="832">
        <f>'App 6_Yr 1 Capex'!AB96</f>
        <v>0</v>
      </c>
      <c r="Y12" s="832">
        <f t="shared" si="0"/>
        <v>59730</v>
      </c>
      <c r="Z12" s="860">
        <f>'App 6_Yr 1 Capex'!E14-'App 4_Yr1 Cashflow'!Y12</f>
        <v>0</v>
      </c>
    </row>
    <row r="13" spans="2:26">
      <c r="B13" s="823" t="str">
        <f>'App 6_Yr 1 Capex'!C98</f>
        <v>Laboratory Services</v>
      </c>
      <c r="C13" s="824"/>
      <c r="D13" s="832">
        <f>'App 6_Yr 1 Capex'!H146</f>
        <v>0</v>
      </c>
      <c r="E13" s="832">
        <f>'App 6_Yr 1 Capex'!I146</f>
        <v>0</v>
      </c>
      <c r="F13" s="832">
        <f ca="1">'App 6_Yr 1 Capex'!J146</f>
        <v>1568819</v>
      </c>
      <c r="G13" s="832">
        <f>'App 6_Yr 1 Capex'!K146</f>
        <v>0</v>
      </c>
      <c r="H13" s="832">
        <f>'App 6_Yr 1 Capex'!L146</f>
        <v>0</v>
      </c>
      <c r="I13" s="832">
        <f>'App 6_Yr 1 Capex'!M146</f>
        <v>0</v>
      </c>
      <c r="J13" s="832"/>
      <c r="K13" s="832"/>
      <c r="L13" s="832"/>
      <c r="M13" s="832">
        <f ca="1">'App 6_Yr 1 Capex'!Q146</f>
        <v>312695</v>
      </c>
      <c r="N13" s="832">
        <f>'App 6_Yr 1 Capex'!R146</f>
        <v>73799</v>
      </c>
      <c r="O13" s="832">
        <f>'App 6_Yr 1 Capex'!S146</f>
        <v>621250</v>
      </c>
      <c r="P13" s="832">
        <f>'App 6_Yr 1 Capex'!T146</f>
        <v>0</v>
      </c>
      <c r="Q13" s="832">
        <f>'App 6_Yr 1 Capex'!U146</f>
        <v>3500</v>
      </c>
      <c r="R13" s="832">
        <f>'App 6_Yr 1 Capex'!V146</f>
        <v>767050</v>
      </c>
      <c r="S13" s="832">
        <f>'App 6_Yr 1 Capex'!W146</f>
        <v>0</v>
      </c>
      <c r="T13" s="832">
        <f>'App 6_Yr 1 Capex'!X146</f>
        <v>0</v>
      </c>
      <c r="U13" s="832">
        <f>'App 6_Yr 1 Capex'!Y146</f>
        <v>0</v>
      </c>
      <c r="V13" s="832">
        <f>'App 6_Yr 1 Capex'!Z146</f>
        <v>0</v>
      </c>
      <c r="W13" s="832">
        <f>'App 6_Yr 1 Capex'!AA146</f>
        <v>0</v>
      </c>
      <c r="X13" s="832">
        <f>'App 6_Yr 1 Capex'!AB146</f>
        <v>666250</v>
      </c>
      <c r="Y13" s="832">
        <f t="shared" ca="1" si="0"/>
        <v>4013363</v>
      </c>
      <c r="Z13" s="860">
        <f ca="1">'App 6_Yr 1 Capex'!E15-'App 4_Yr1 Cashflow'!Y13</f>
        <v>0</v>
      </c>
    </row>
    <row r="14" spans="2:26">
      <c r="B14" s="823" t="str">
        <f>'App 6_Yr 1 Capex'!C148</f>
        <v>Imaging Diagnosis</v>
      </c>
      <c r="C14" s="824"/>
      <c r="D14" s="832">
        <f>'App 6_Yr 1 Capex'!H165</f>
        <v>0</v>
      </c>
      <c r="E14" s="832">
        <f>'App 6_Yr 1 Capex'!I165</f>
        <v>0</v>
      </c>
      <c r="F14" s="832">
        <f>'App 6_Yr 1 Capex'!J165</f>
        <v>2138306</v>
      </c>
      <c r="G14" s="832">
        <f>'App 6_Yr 1 Capex'!K165</f>
        <v>0</v>
      </c>
      <c r="H14" s="832">
        <f>'App 6_Yr 1 Capex'!L165</f>
        <v>0</v>
      </c>
      <c r="I14" s="832">
        <f>'App 6_Yr 1 Capex'!M165</f>
        <v>0</v>
      </c>
      <c r="J14" s="832"/>
      <c r="K14" s="832"/>
      <c r="L14" s="832"/>
      <c r="M14" s="832">
        <f>'App 6_Yr 1 Capex'!Q165</f>
        <v>0</v>
      </c>
      <c r="N14" s="832">
        <f>'App 6_Yr 1 Capex'!R165</f>
        <v>0</v>
      </c>
      <c r="O14" s="832">
        <f>'App 6_Yr 1 Capex'!S165</f>
        <v>529676</v>
      </c>
      <c r="P14" s="832">
        <f>'App 6_Yr 1 Capex'!T165</f>
        <v>0</v>
      </c>
      <c r="Q14" s="832">
        <f>'App 6_Yr 1 Capex'!U165</f>
        <v>0</v>
      </c>
      <c r="R14" s="832">
        <f>'App 6_Yr 1 Capex'!V165</f>
        <v>0</v>
      </c>
      <c r="S14" s="832">
        <f>'App 6_Yr 1 Capex'!W165</f>
        <v>0</v>
      </c>
      <c r="T14" s="832">
        <f>'App 6_Yr 1 Capex'!X165</f>
        <v>0</v>
      </c>
      <c r="U14" s="832">
        <f>'App 6_Yr 1 Capex'!Y165</f>
        <v>0</v>
      </c>
      <c r="V14" s="832">
        <f>'App 6_Yr 1 Capex'!Z165</f>
        <v>0</v>
      </c>
      <c r="W14" s="832">
        <f>'App 6_Yr 1 Capex'!AA165</f>
        <v>0</v>
      </c>
      <c r="X14" s="832">
        <f>'App 6_Yr 1 Capex'!AB165</f>
        <v>45620</v>
      </c>
      <c r="Y14" s="832">
        <f t="shared" si="0"/>
        <v>2713602</v>
      </c>
      <c r="Z14" s="860">
        <f>'App 6_Yr 1 Capex'!E16-'App 4_Yr1 Cashflow'!Y14</f>
        <v>0</v>
      </c>
    </row>
    <row r="15" spans="2:26">
      <c r="B15" s="823" t="str">
        <f>'App 6_Yr 1 Capex'!C167</f>
        <v>Computer &amp; Software</v>
      </c>
      <c r="C15" s="824"/>
      <c r="D15" s="832">
        <f>'App 6_Yr 1 Capex'!H183</f>
        <v>0</v>
      </c>
      <c r="E15" s="832">
        <f>'App 6_Yr 1 Capex'!I183</f>
        <v>0</v>
      </c>
      <c r="F15" s="832">
        <f>'App 6_Yr 1 Capex'!J183</f>
        <v>32000</v>
      </c>
      <c r="G15" s="832">
        <f>'App 6_Yr 1 Capex'!K183</f>
        <v>0</v>
      </c>
      <c r="H15" s="832">
        <f>'App 6_Yr 1 Capex'!L183</f>
        <v>15000</v>
      </c>
      <c r="I15" s="832">
        <f>'App 6_Yr 1 Capex'!M183</f>
        <v>13961</v>
      </c>
      <c r="J15" s="832"/>
      <c r="K15" s="832"/>
      <c r="L15" s="832"/>
      <c r="M15" s="832">
        <f>'App 6_Yr 1 Capex'!Q183</f>
        <v>5000</v>
      </c>
      <c r="N15" s="832">
        <f>'App 6_Yr 1 Capex'!R183</f>
        <v>0</v>
      </c>
      <c r="O15" s="832">
        <f>'App 6_Yr 1 Capex'!S183</f>
        <v>37126</v>
      </c>
      <c r="P15" s="832">
        <f>'App 6_Yr 1 Capex'!T183</f>
        <v>0</v>
      </c>
      <c r="Q15" s="832">
        <f>'App 6_Yr 1 Capex'!U183</f>
        <v>0</v>
      </c>
      <c r="R15" s="832">
        <f>'App 6_Yr 1 Capex'!V183</f>
        <v>0</v>
      </c>
      <c r="S15" s="832">
        <f>'App 6_Yr 1 Capex'!W183</f>
        <v>0</v>
      </c>
      <c r="T15" s="832">
        <f>'App 6_Yr 1 Capex'!X183</f>
        <v>0</v>
      </c>
      <c r="U15" s="832">
        <f>'App 6_Yr 1 Capex'!Y183</f>
        <v>0</v>
      </c>
      <c r="V15" s="832">
        <f>'App 6_Yr 1 Capex'!Z183</f>
        <v>0</v>
      </c>
      <c r="W15" s="832">
        <f>'App 6_Yr 1 Capex'!AA183</f>
        <v>0</v>
      </c>
      <c r="X15" s="832">
        <f>'App 6_Yr 1 Capex'!AB183</f>
        <v>0</v>
      </c>
      <c r="Y15" s="832">
        <f t="shared" si="0"/>
        <v>103087</v>
      </c>
      <c r="Z15" s="860">
        <f>SUM('App 6_Yr 1 Capex'!E17-Y15)</f>
        <v>0</v>
      </c>
    </row>
    <row r="16" spans="2:26">
      <c r="B16" s="823" t="s">
        <v>654</v>
      </c>
      <c r="C16" s="824"/>
      <c r="D16" s="832">
        <f>'App 6_Yr 1 Capex'!H195</f>
        <v>0</v>
      </c>
      <c r="E16" s="832">
        <f>'App 6_Yr 1 Capex'!I195</f>
        <v>0</v>
      </c>
      <c r="F16" s="832">
        <f ca="1">'App 6_Yr 1 Capex'!J195</f>
        <v>0</v>
      </c>
      <c r="G16" s="832">
        <f>'App 6_Yr 1 Capex'!K195</f>
        <v>0</v>
      </c>
      <c r="H16" s="832">
        <f>'App 6_Yr 1 Capex'!L195</f>
        <v>8000</v>
      </c>
      <c r="I16" s="832">
        <f>'App 6_Yr 1 Capex'!M195</f>
        <v>3140</v>
      </c>
      <c r="J16" s="832"/>
      <c r="K16" s="832"/>
      <c r="L16" s="832"/>
      <c r="M16" s="832">
        <f>'App 6_Yr 1 Capex'!Q195</f>
        <v>4500</v>
      </c>
      <c r="N16" s="832">
        <f>'App 6_Yr 1 Capex'!R195</f>
        <v>0</v>
      </c>
      <c r="O16" s="832">
        <f>'App 6_Yr 1 Capex'!S195</f>
        <v>880</v>
      </c>
      <c r="P16" s="832">
        <f>'App 6_Yr 1 Capex'!T195</f>
        <v>0</v>
      </c>
      <c r="Q16" s="832">
        <f>'App 6_Yr 1 Capex'!U195</f>
        <v>0</v>
      </c>
      <c r="R16" s="832">
        <f>'App 6_Yr 1 Capex'!V195</f>
        <v>5000</v>
      </c>
      <c r="S16" s="832">
        <f>'App 6_Yr 1 Capex'!W195</f>
        <v>0</v>
      </c>
      <c r="T16" s="832">
        <f>'App 6_Yr 1 Capex'!X195</f>
        <v>0</v>
      </c>
      <c r="U16" s="832">
        <f>'App 6_Yr 1 Capex'!Y195</f>
        <v>0</v>
      </c>
      <c r="V16" s="832">
        <f>'App 6_Yr 1 Capex'!Z195</f>
        <v>0</v>
      </c>
      <c r="W16" s="832">
        <f>'App 6_Yr 1 Capex'!AA195</f>
        <v>0</v>
      </c>
      <c r="X16" s="832">
        <f>'App 6_Yr 1 Capex'!AB195</f>
        <v>0</v>
      </c>
      <c r="Y16" s="832">
        <f t="shared" ca="1" si="0"/>
        <v>21520</v>
      </c>
      <c r="Z16" s="860">
        <f ca="1">SUM('App 6_Yr 1 Capex'!E18-Y16)</f>
        <v>0</v>
      </c>
    </row>
    <row r="17" spans="2:26">
      <c r="B17" s="823" t="str">
        <f>'App 6_Yr 1 Capex'!C197</f>
        <v>Vehicles</v>
      </c>
      <c r="C17" s="824"/>
      <c r="D17" s="832">
        <f>'App 6_Yr 1 Capex'!H202</f>
        <v>0</v>
      </c>
      <c r="E17" s="832">
        <f>'App 6_Yr 1 Capex'!I202</f>
        <v>0</v>
      </c>
      <c r="F17" s="832">
        <f ca="1">'App 6_Yr 1 Capex'!J202</f>
        <v>0</v>
      </c>
      <c r="G17" s="832">
        <f>'App 6_Yr 1 Capex'!K202</f>
        <v>0</v>
      </c>
      <c r="H17" s="832">
        <f>'App 6_Yr 1 Capex'!L202</f>
        <v>0</v>
      </c>
      <c r="I17" s="832">
        <f>'App 6_Yr 1 Capex'!M202</f>
        <v>0</v>
      </c>
      <c r="J17" s="832"/>
      <c r="K17" s="832"/>
      <c r="L17" s="832"/>
      <c r="M17" s="832">
        <f>'App 6_Yr 1 Capex'!Q202</f>
        <v>1000</v>
      </c>
      <c r="N17" s="832">
        <f>'App 6_Yr 1 Capex'!R202</f>
        <v>0</v>
      </c>
      <c r="O17" s="832">
        <f>'App 6_Yr 1 Capex'!S202</f>
        <v>101000</v>
      </c>
      <c r="P17" s="832">
        <f>'App 6_Yr 1 Capex'!T202</f>
        <v>0</v>
      </c>
      <c r="Q17" s="832">
        <f>'App 6_Yr 1 Capex'!U202</f>
        <v>0</v>
      </c>
      <c r="R17" s="832">
        <f>'App 6_Yr 1 Capex'!V202</f>
        <v>1000</v>
      </c>
      <c r="S17" s="832">
        <f>'App 6_Yr 1 Capex'!W202</f>
        <v>0</v>
      </c>
      <c r="T17" s="832">
        <f>'App 6_Yr 1 Capex'!X202</f>
        <v>0</v>
      </c>
      <c r="U17" s="832">
        <f>'App 6_Yr 1 Capex'!Y202</f>
        <v>0</v>
      </c>
      <c r="V17" s="832">
        <f>'App 6_Yr 1 Capex'!Z202</f>
        <v>0</v>
      </c>
      <c r="W17" s="832">
        <f>'App 6_Yr 1 Capex'!AA202</f>
        <v>0</v>
      </c>
      <c r="X17" s="832">
        <f>'App 6_Yr 1 Capex'!AB202</f>
        <v>61000</v>
      </c>
      <c r="Y17" s="832">
        <f t="shared" ca="1" si="0"/>
        <v>164000</v>
      </c>
      <c r="Z17" s="860">
        <f ca="1">SUM('App 6_Yr 1 Capex'!E19-Y17)</f>
        <v>0</v>
      </c>
    </row>
    <row r="18" spans="2:26">
      <c r="B18" s="823"/>
      <c r="C18" s="824"/>
      <c r="D18" s="832"/>
      <c r="E18" s="832"/>
      <c r="F18" s="832"/>
      <c r="G18" s="832"/>
      <c r="H18" s="832"/>
      <c r="I18" s="832"/>
      <c r="J18" s="832"/>
      <c r="K18" s="832"/>
      <c r="L18" s="832"/>
      <c r="M18" s="832"/>
      <c r="N18" s="832"/>
      <c r="O18" s="832"/>
      <c r="P18" s="832"/>
      <c r="Q18" s="832"/>
      <c r="R18" s="832"/>
      <c r="S18" s="832"/>
      <c r="T18" s="832"/>
      <c r="U18" s="832"/>
      <c r="V18" s="832"/>
      <c r="W18" s="832"/>
      <c r="X18" s="832"/>
      <c r="Y18" s="832"/>
      <c r="Z18" s="332"/>
    </row>
    <row r="19" spans="2:26" s="374" customFormat="1">
      <c r="B19" s="825" t="s">
        <v>933</v>
      </c>
      <c r="C19" s="826"/>
      <c r="D19" s="833">
        <f t="shared" ref="D19" si="1">SUM(D9:D18)</f>
        <v>0</v>
      </c>
      <c r="E19" s="833">
        <f t="shared" ref="E19" si="2">SUM(E9:E18)</f>
        <v>0</v>
      </c>
      <c r="F19" s="833">
        <f t="shared" ref="F19" ca="1" si="3">SUM(F9:F18)</f>
        <v>3955255</v>
      </c>
      <c r="G19" s="833">
        <f t="shared" ref="G19" si="4">SUM(G9:G18)</f>
        <v>12000</v>
      </c>
      <c r="H19" s="833">
        <f t="shared" ref="H19" si="5">SUM(H9:H18)</f>
        <v>23000</v>
      </c>
      <c r="I19" s="833">
        <f t="shared" ref="I19" si="6">SUM(I9:I18)</f>
        <v>17101</v>
      </c>
      <c r="J19" s="833"/>
      <c r="K19" s="833"/>
      <c r="L19" s="833"/>
      <c r="M19" s="833">
        <f t="shared" ref="M19" ca="1" si="7">SUM(M9:M18)</f>
        <v>323195</v>
      </c>
      <c r="N19" s="833">
        <f t="shared" ref="N19" si="8">SUM(N9:N18)</f>
        <v>73799</v>
      </c>
      <c r="O19" s="833">
        <f t="shared" ref="O19" si="9">SUM(O9:O18)</f>
        <v>1289932</v>
      </c>
      <c r="P19" s="833">
        <f t="shared" ref="P19" si="10">SUM(P9:P18)</f>
        <v>0</v>
      </c>
      <c r="Q19" s="833">
        <f t="shared" ref="Q19" si="11">SUM(Q9:Q18)</f>
        <v>3500</v>
      </c>
      <c r="R19" s="833">
        <f t="shared" ref="R19" si="12">SUM(R9:R18)</f>
        <v>773050</v>
      </c>
      <c r="S19" s="833">
        <f t="shared" ref="S19" si="13">SUM(S9:S18)</f>
        <v>0</v>
      </c>
      <c r="T19" s="833">
        <f t="shared" ref="T19" si="14">SUM(T9:T18)</f>
        <v>0</v>
      </c>
      <c r="U19" s="833">
        <f t="shared" ref="U19" si="15">SUM(U9:U18)</f>
        <v>0</v>
      </c>
      <c r="V19" s="833">
        <f t="shared" ref="V19" si="16">SUM(V9:V18)</f>
        <v>0</v>
      </c>
      <c r="W19" s="833">
        <f t="shared" ref="W19" si="17">SUM(W9:W18)</f>
        <v>0</v>
      </c>
      <c r="X19" s="833">
        <f t="shared" ref="X19" si="18">SUM(X9:X18)</f>
        <v>772870</v>
      </c>
      <c r="Y19" s="833">
        <f t="shared" ref="Y19" ca="1" si="19">SUM(Y9:Y18)</f>
        <v>7243702</v>
      </c>
    </row>
    <row r="20" spans="2:26">
      <c r="D20" s="834"/>
      <c r="E20" s="834"/>
      <c r="F20" s="834"/>
      <c r="G20" s="834"/>
      <c r="H20" s="834"/>
      <c r="I20" s="834"/>
      <c r="J20" s="834"/>
      <c r="K20" s="834"/>
      <c r="L20" s="834"/>
      <c r="M20" s="834"/>
      <c r="N20" s="834"/>
      <c r="O20" s="834"/>
      <c r="P20" s="834"/>
      <c r="Q20" s="834"/>
      <c r="R20" s="834"/>
      <c r="S20" s="834"/>
      <c r="T20" s="834"/>
      <c r="U20" s="834"/>
      <c r="V20" s="834"/>
      <c r="W20" s="834"/>
      <c r="X20" s="834"/>
      <c r="Y20" s="845">
        <f ca="1">'App 6_Yr 1 Capex'!E21-Y19</f>
        <v>0</v>
      </c>
    </row>
    <row r="21" spans="2:26" ht="13.5" thickBot="1">
      <c r="B21" s="819" t="s">
        <v>934</v>
      </c>
      <c r="C21" s="820"/>
      <c r="D21" s="835"/>
      <c r="E21" s="835"/>
      <c r="F21" s="835"/>
      <c r="G21" s="835"/>
      <c r="H21" s="835"/>
      <c r="I21" s="835"/>
      <c r="J21" s="835"/>
      <c r="K21" s="835"/>
      <c r="L21" s="835"/>
      <c r="M21" s="835"/>
      <c r="N21" s="835"/>
      <c r="O21" s="835"/>
      <c r="P21" s="835"/>
      <c r="Q21" s="835"/>
      <c r="R21" s="835"/>
      <c r="S21" s="835"/>
      <c r="T21" s="835"/>
      <c r="U21" s="835"/>
      <c r="V21" s="835"/>
      <c r="W21" s="835"/>
      <c r="X21" s="835"/>
      <c r="Y21" s="835"/>
    </row>
    <row r="22" spans="2:26">
      <c r="B22" s="827" t="s">
        <v>157</v>
      </c>
      <c r="C22" s="828"/>
      <c r="D22" s="836">
        <f>'App 9_Yr1 Headcount'!J63</f>
        <v>4000</v>
      </c>
      <c r="E22" s="836">
        <f>'App 9_Yr1 Headcount'!K63</f>
        <v>4000</v>
      </c>
      <c r="F22" s="836">
        <f>'App 9_Yr1 Headcount'!L63</f>
        <v>5000</v>
      </c>
      <c r="G22" s="836">
        <f>'App 9_Yr1 Headcount'!M63</f>
        <v>5500</v>
      </c>
      <c r="H22" s="836">
        <f>'App 9_Yr1 Headcount'!N63</f>
        <v>5500</v>
      </c>
      <c r="I22" s="836">
        <f>'App 9_Yr1 Headcount'!O63</f>
        <v>5500</v>
      </c>
      <c r="J22" s="836"/>
      <c r="K22" s="836"/>
      <c r="L22" s="836"/>
      <c r="M22" s="836">
        <f>'App 9_Yr1 Headcount'!K158</f>
        <v>65562.499999999971</v>
      </c>
      <c r="N22" s="836">
        <f>'App 9_Yr1 Headcount'!L158</f>
        <v>65562.499999999971</v>
      </c>
      <c r="O22" s="836">
        <f>'App 9_Yr1 Headcount'!M158</f>
        <v>66916.666666666657</v>
      </c>
      <c r="P22" s="836">
        <f>'App 9_Yr1 Headcount'!N158</f>
        <v>67604.166666666657</v>
      </c>
      <c r="Q22" s="836">
        <f>'App 9_Yr1 Headcount'!O158</f>
        <v>68041.666666666657</v>
      </c>
      <c r="R22" s="836">
        <f>'App 9_Yr1 Headcount'!P158</f>
        <v>68666.666666666657</v>
      </c>
      <c r="S22" s="836">
        <f>'App 9_Yr1 Headcount'!Q158</f>
        <v>70687.5</v>
      </c>
      <c r="T22" s="836">
        <f>'App 9_Yr1 Headcount'!R158</f>
        <v>71062.5</v>
      </c>
      <c r="U22" s="836">
        <f>'App 9_Yr1 Headcount'!S158</f>
        <v>71500</v>
      </c>
      <c r="V22" s="836">
        <f>'App 9_Yr1 Headcount'!T158</f>
        <v>71500</v>
      </c>
      <c r="W22" s="836">
        <f>'App 9_Yr1 Headcount'!U158</f>
        <v>71500</v>
      </c>
      <c r="X22" s="836">
        <f>'App 9_Yr1 Headcount'!V158</f>
        <v>71500</v>
      </c>
      <c r="Y22" s="832">
        <f>SUM(D22:X22)</f>
        <v>859604.16666666651</v>
      </c>
    </row>
    <row r="23" spans="2:26">
      <c r="B23" s="823" t="str">
        <f>'App 11_Yr1 Op Exp'!B8</f>
        <v>Administration</v>
      </c>
      <c r="C23" s="824"/>
      <c r="D23" s="832"/>
      <c r="E23" s="832"/>
      <c r="F23" s="832"/>
      <c r="G23" s="832"/>
      <c r="H23" s="832"/>
      <c r="I23" s="832"/>
      <c r="J23" s="832"/>
      <c r="K23" s="832"/>
      <c r="L23" s="832"/>
      <c r="M23" s="832">
        <f>'App 11_Yr1 Op Exp'!H60</f>
        <v>7041.833836778118</v>
      </c>
      <c r="N23" s="832">
        <f>'App 11_Yr1 Op Exp'!I60</f>
        <v>5041.833836778118</v>
      </c>
      <c r="O23" s="832">
        <f>'App 11_Yr1 Op Exp'!J60</f>
        <v>7081.833836778118</v>
      </c>
      <c r="P23" s="832">
        <f>'App 11_Yr1 Op Exp'!K60</f>
        <v>5161.833836778118</v>
      </c>
      <c r="Q23" s="832">
        <f>'App 11_Yr1 Op Exp'!L60</f>
        <v>5201.833836778118</v>
      </c>
      <c r="R23" s="832">
        <f>'App 11_Yr1 Op Exp'!M60</f>
        <v>7241.833836778118</v>
      </c>
      <c r="S23" s="832">
        <f>'App 11_Yr1 Op Exp'!N60</f>
        <v>5361.833836778118</v>
      </c>
      <c r="T23" s="832">
        <f>'App 11_Yr1 Op Exp'!O60</f>
        <v>5421.833836778118</v>
      </c>
      <c r="U23" s="832">
        <f>'App 11_Yr1 Op Exp'!P60</f>
        <v>7461.833836778118</v>
      </c>
      <c r="V23" s="832">
        <f>'App 11_Yr1 Op Exp'!Q60</f>
        <v>5461.833836778118</v>
      </c>
      <c r="W23" s="832">
        <f>'App 11_Yr1 Op Exp'!R60</f>
        <v>5461.833836778118</v>
      </c>
      <c r="X23" s="832">
        <f>'App 11_Yr1 Op Exp'!S60</f>
        <v>7461.833836778118</v>
      </c>
      <c r="Y23" s="832">
        <f t="shared" ref="Y23:Y28" si="20">SUM(M23:X23)</f>
        <v>73402.006041337416</v>
      </c>
    </row>
    <row r="24" spans="2:26">
      <c r="B24" s="823" t="str">
        <f>'App 11_Yr1 Op Exp'!B9</f>
        <v>Office Rent, Utilities&amp; Supplies</v>
      </c>
      <c r="C24" s="824"/>
      <c r="D24" s="832"/>
      <c r="E24" s="832"/>
      <c r="F24" s="832"/>
      <c r="G24" s="832"/>
      <c r="H24" s="832"/>
      <c r="I24" s="832"/>
      <c r="J24" s="832"/>
      <c r="K24" s="832"/>
      <c r="L24" s="832"/>
      <c r="M24" s="832">
        <f>'App 11_Yr1 Op Exp'!H67</f>
        <v>27163.667673556236</v>
      </c>
      <c r="N24" s="832">
        <f>'App 11_Yr1 Op Exp'!I67</f>
        <v>27163.667673556236</v>
      </c>
      <c r="O24" s="832">
        <f>'App 11_Yr1 Op Exp'!J67</f>
        <v>27183.667673556236</v>
      </c>
      <c r="P24" s="832">
        <f>'App 11_Yr1 Op Exp'!K67</f>
        <v>27223.667673556236</v>
      </c>
      <c r="Q24" s="832">
        <f>'App 11_Yr1 Op Exp'!L67</f>
        <v>27243.667673556236</v>
      </c>
      <c r="R24" s="832">
        <f>'App 11_Yr1 Op Exp'!M67</f>
        <v>27263.667673556236</v>
      </c>
      <c r="S24" s="832">
        <f>'App 11_Yr1 Op Exp'!N67</f>
        <v>27323.667673556236</v>
      </c>
      <c r="T24" s="832">
        <f>'App 11_Yr1 Op Exp'!O67</f>
        <v>27353.667673556236</v>
      </c>
      <c r="U24" s="832">
        <f>'App 11_Yr1 Op Exp'!P67</f>
        <v>27373.667673556236</v>
      </c>
      <c r="V24" s="832">
        <f>'App 11_Yr1 Op Exp'!Q67</f>
        <v>27373.667673556236</v>
      </c>
      <c r="W24" s="832">
        <f>'App 11_Yr1 Op Exp'!R67</f>
        <v>27373.667673556236</v>
      </c>
      <c r="X24" s="832">
        <f>'App 11_Yr1 Op Exp'!S67</f>
        <v>27373.667673556236</v>
      </c>
      <c r="Y24" s="832">
        <f t="shared" si="20"/>
        <v>327414.01208267495</v>
      </c>
    </row>
    <row r="25" spans="2:26">
      <c r="B25" s="823" t="str">
        <f>'App 11_Yr1 Op Exp'!B10</f>
        <v>Marketing &amp; Advertising</v>
      </c>
      <c r="C25" s="824"/>
      <c r="D25" s="832"/>
      <c r="E25" s="832"/>
      <c r="F25" s="832"/>
      <c r="G25" s="832"/>
      <c r="H25" s="832"/>
      <c r="I25" s="832"/>
      <c r="J25" s="832"/>
      <c r="K25" s="832"/>
      <c r="L25" s="832"/>
      <c r="M25" s="832">
        <f>'App 11_Yr1 Op Exp'!H76</f>
        <v>9250</v>
      </c>
      <c r="N25" s="832">
        <f>'App 11_Yr1 Op Exp'!I76</f>
        <v>7750</v>
      </c>
      <c r="O25" s="832">
        <f>'App 11_Yr1 Op Exp'!J76</f>
        <v>7750</v>
      </c>
      <c r="P25" s="832">
        <f>'App 11_Yr1 Op Exp'!K76</f>
        <v>8250</v>
      </c>
      <c r="Q25" s="832">
        <f>'App 11_Yr1 Op Exp'!L76</f>
        <v>7750</v>
      </c>
      <c r="R25" s="832">
        <f>'App 11_Yr1 Op Exp'!M76</f>
        <v>7750</v>
      </c>
      <c r="S25" s="832">
        <f>'App 11_Yr1 Op Exp'!N76</f>
        <v>9250</v>
      </c>
      <c r="T25" s="832">
        <f>'App 11_Yr1 Op Exp'!O76</f>
        <v>8250</v>
      </c>
      <c r="U25" s="832">
        <f>'App 11_Yr1 Op Exp'!P76</f>
        <v>7750</v>
      </c>
      <c r="V25" s="832">
        <f>'App 11_Yr1 Op Exp'!Q76</f>
        <v>7750</v>
      </c>
      <c r="W25" s="832">
        <f>'App 11_Yr1 Op Exp'!R76</f>
        <v>7750</v>
      </c>
      <c r="X25" s="832">
        <f>'App 11_Yr1 Op Exp'!S76</f>
        <v>8250</v>
      </c>
      <c r="Y25" s="832">
        <f t="shared" si="20"/>
        <v>97500</v>
      </c>
    </row>
    <row r="26" spans="2:26">
      <c r="B26" s="823" t="str">
        <f>'App 11_Yr1 Op Exp'!B11</f>
        <v>Education &amp; Training</v>
      </c>
      <c r="C26" s="824"/>
      <c r="D26" s="832"/>
      <c r="E26" s="832"/>
      <c r="F26" s="832"/>
      <c r="G26" s="832"/>
      <c r="H26" s="832"/>
      <c r="I26" s="832"/>
      <c r="J26" s="832"/>
      <c r="K26" s="832"/>
      <c r="L26" s="832"/>
      <c r="M26" s="832">
        <f>'App 11_Yr1 Op Exp'!H83</f>
        <v>500</v>
      </c>
      <c r="N26" s="832">
        <f>'App 11_Yr1 Op Exp'!I83</f>
        <v>500</v>
      </c>
      <c r="O26" s="832">
        <f>'App 11_Yr1 Op Exp'!J83</f>
        <v>520</v>
      </c>
      <c r="P26" s="832">
        <f>'App 11_Yr1 Op Exp'!K83</f>
        <v>530</v>
      </c>
      <c r="Q26" s="832">
        <f>'App 11_Yr1 Op Exp'!L83</f>
        <v>540</v>
      </c>
      <c r="R26" s="832">
        <f>'App 11_Yr1 Op Exp'!M83</f>
        <v>560</v>
      </c>
      <c r="S26" s="832">
        <f>'App 11_Yr1 Op Exp'!N83</f>
        <v>610</v>
      </c>
      <c r="T26" s="832">
        <f>'App 11_Yr1 Op Exp'!O83</f>
        <v>610</v>
      </c>
      <c r="U26" s="832">
        <f>'App 11_Yr1 Op Exp'!P83</f>
        <v>620</v>
      </c>
      <c r="V26" s="832">
        <f>'App 11_Yr1 Op Exp'!Q83</f>
        <v>620</v>
      </c>
      <c r="W26" s="832">
        <f>'App 11_Yr1 Op Exp'!R83</f>
        <v>620</v>
      </c>
      <c r="X26" s="832">
        <f>'App 11_Yr1 Op Exp'!S83</f>
        <v>620</v>
      </c>
      <c r="Y26" s="832">
        <f t="shared" si="20"/>
        <v>6850</v>
      </c>
    </row>
    <row r="27" spans="2:26">
      <c r="B27" s="823" t="str">
        <f>'App 11_Yr1 Op Exp'!B12</f>
        <v>Maintenance</v>
      </c>
      <c r="C27" s="824"/>
      <c r="D27" s="832"/>
      <c r="E27" s="832"/>
      <c r="F27" s="832"/>
      <c r="G27" s="832"/>
      <c r="H27" s="832"/>
      <c r="I27" s="832"/>
      <c r="J27" s="832"/>
      <c r="K27" s="832"/>
      <c r="L27" s="832"/>
      <c r="M27" s="832">
        <f ca="1">'App 11_Yr1 Op Exp'!H92</f>
        <v>30182.091666666664</v>
      </c>
      <c r="N27" s="832">
        <f ca="1">'App 11_Yr1 Op Exp'!I92</f>
        <v>30182.091666666664</v>
      </c>
      <c r="O27" s="832">
        <f ca="1">'App 11_Yr1 Op Exp'!J92</f>
        <v>30182.091666666664</v>
      </c>
      <c r="P27" s="832">
        <f ca="1">'App 11_Yr1 Op Exp'!K92</f>
        <v>30182.091666666664</v>
      </c>
      <c r="Q27" s="832">
        <f ca="1">'App 11_Yr1 Op Exp'!L92</f>
        <v>30182.091666666664</v>
      </c>
      <c r="R27" s="832">
        <f ca="1">'App 11_Yr1 Op Exp'!M92</f>
        <v>30182.091666666664</v>
      </c>
      <c r="S27" s="832">
        <f ca="1">'App 11_Yr1 Op Exp'!N92</f>
        <v>30182.091666666664</v>
      </c>
      <c r="T27" s="832">
        <f ca="1">'App 11_Yr1 Op Exp'!O92</f>
        <v>30182.091666666664</v>
      </c>
      <c r="U27" s="832">
        <f ca="1">'App 11_Yr1 Op Exp'!P92</f>
        <v>30182.091666666664</v>
      </c>
      <c r="V27" s="832">
        <f ca="1">'App 11_Yr1 Op Exp'!Q92</f>
        <v>30182.091666666664</v>
      </c>
      <c r="W27" s="832">
        <f ca="1">'App 11_Yr1 Op Exp'!R92</f>
        <v>30182.091666666664</v>
      </c>
      <c r="X27" s="832">
        <f ca="1">'App 11_Yr1 Op Exp'!S92</f>
        <v>30182.091666666664</v>
      </c>
      <c r="Y27" s="832">
        <f t="shared" ca="1" si="20"/>
        <v>362185.10000000003</v>
      </c>
    </row>
    <row r="28" spans="2:26">
      <c r="B28" s="823" t="str">
        <f>'App 11_Yr1 Op Exp'!B13</f>
        <v>Others</v>
      </c>
      <c r="C28" s="824"/>
      <c r="D28" s="832"/>
      <c r="E28" s="832"/>
      <c r="F28" s="832"/>
      <c r="G28" s="832"/>
      <c r="H28" s="832"/>
      <c r="I28" s="832"/>
      <c r="J28" s="832"/>
      <c r="K28" s="832"/>
      <c r="L28" s="832"/>
      <c r="M28" s="832">
        <f>'App 11_Yr1 Op Exp'!H101</f>
        <v>9747.3353471124738</v>
      </c>
      <c r="N28" s="832">
        <f>'App 11_Yr1 Op Exp'!I101</f>
        <v>9747.3353471124738</v>
      </c>
      <c r="O28" s="832">
        <f>'App 11_Yr1 Op Exp'!J101</f>
        <v>9747.3353471124738</v>
      </c>
      <c r="P28" s="832">
        <f>'App 11_Yr1 Op Exp'!K101</f>
        <v>9747.3353471124738</v>
      </c>
      <c r="Q28" s="832">
        <f>'App 11_Yr1 Op Exp'!L101</f>
        <v>10247.335347112474</v>
      </c>
      <c r="R28" s="832">
        <f>'App 11_Yr1 Op Exp'!M101</f>
        <v>9747.3353471124738</v>
      </c>
      <c r="S28" s="832">
        <f>'App 11_Yr1 Op Exp'!N101</f>
        <v>9747.3353471124738</v>
      </c>
      <c r="T28" s="832">
        <f>'App 11_Yr1 Op Exp'!O101</f>
        <v>9747.3353471124738</v>
      </c>
      <c r="U28" s="832">
        <f>'App 11_Yr1 Op Exp'!P101</f>
        <v>9747.3353471124738</v>
      </c>
      <c r="V28" s="832">
        <f>'App 11_Yr1 Op Exp'!Q101</f>
        <v>9747.3353471124738</v>
      </c>
      <c r="W28" s="832">
        <f>'App 11_Yr1 Op Exp'!R101</f>
        <v>9747.3353471124738</v>
      </c>
      <c r="X28" s="832">
        <f>'App 11_Yr1 Op Exp'!S101</f>
        <v>9747.3353471124738</v>
      </c>
      <c r="Y28" s="832">
        <f t="shared" si="20"/>
        <v>117468.02416534968</v>
      </c>
    </row>
    <row r="29" spans="2:26">
      <c r="B29" s="823"/>
      <c r="C29" s="824"/>
      <c r="D29" s="832"/>
      <c r="E29" s="832"/>
      <c r="F29" s="832"/>
      <c r="G29" s="832"/>
      <c r="H29" s="832"/>
      <c r="I29" s="832"/>
      <c r="J29" s="832"/>
      <c r="K29" s="832"/>
      <c r="L29" s="832"/>
      <c r="M29" s="832"/>
      <c r="N29" s="832"/>
      <c r="O29" s="832"/>
      <c r="P29" s="832"/>
      <c r="Q29" s="832"/>
      <c r="R29" s="832"/>
      <c r="S29" s="832"/>
      <c r="T29" s="832"/>
      <c r="U29" s="832"/>
      <c r="V29" s="832"/>
      <c r="W29" s="832"/>
      <c r="X29" s="832"/>
      <c r="Y29" s="832"/>
    </row>
    <row r="30" spans="2:26" s="374" customFormat="1">
      <c r="B30" s="825" t="s">
        <v>935</v>
      </c>
      <c r="C30" s="826"/>
      <c r="D30" s="833">
        <f>SUM(D22:D28)</f>
        <v>4000</v>
      </c>
      <c r="E30" s="833">
        <f t="shared" ref="E30:I30" si="21">SUM(E22:E28)</f>
        <v>4000</v>
      </c>
      <c r="F30" s="833">
        <f t="shared" si="21"/>
        <v>5000</v>
      </c>
      <c r="G30" s="833">
        <f t="shared" si="21"/>
        <v>5500</v>
      </c>
      <c r="H30" s="833">
        <f t="shared" si="21"/>
        <v>5500</v>
      </c>
      <c r="I30" s="833">
        <f t="shared" si="21"/>
        <v>5500</v>
      </c>
      <c r="J30" s="833"/>
      <c r="K30" s="833"/>
      <c r="L30" s="833"/>
      <c r="M30" s="833">
        <f ca="1">SUM(M22:M28)</f>
        <v>149447.42852411346</v>
      </c>
      <c r="N30" s="833">
        <f t="shared" ref="N30:Y32" ca="1" si="22">SUM(N22:N28)</f>
        <v>145947.42852411346</v>
      </c>
      <c r="O30" s="833">
        <f t="shared" ca="1" si="22"/>
        <v>149381.59519078015</v>
      </c>
      <c r="P30" s="833">
        <f t="shared" ca="1" si="22"/>
        <v>148699.09519078015</v>
      </c>
      <c r="Q30" s="833">
        <f t="shared" ca="1" si="22"/>
        <v>149206.59519078015</v>
      </c>
      <c r="R30" s="833">
        <f t="shared" ca="1" si="22"/>
        <v>151411.59519078015</v>
      </c>
      <c r="S30" s="833">
        <f t="shared" ca="1" si="22"/>
        <v>153162.42852411349</v>
      </c>
      <c r="T30" s="833">
        <f t="shared" ca="1" si="22"/>
        <v>152627.42852411349</v>
      </c>
      <c r="U30" s="833">
        <f t="shared" ca="1" si="22"/>
        <v>154634.92852411349</v>
      </c>
      <c r="V30" s="833">
        <f t="shared" ca="1" si="22"/>
        <v>152634.92852411349</v>
      </c>
      <c r="W30" s="833">
        <f t="shared" ca="1" si="22"/>
        <v>152634.92852411349</v>
      </c>
      <c r="X30" s="833">
        <f t="shared" ca="1" si="22"/>
        <v>155134.92852411349</v>
      </c>
      <c r="Y30" s="833">
        <f t="shared" ca="1" si="22"/>
        <v>1844423.3089560287</v>
      </c>
    </row>
    <row r="31" spans="2:26" s="374" customFormat="1">
      <c r="B31" s="11"/>
      <c r="C31" s="11"/>
      <c r="D31" s="837"/>
      <c r="E31" s="837"/>
      <c r="F31" s="837"/>
      <c r="G31" s="837"/>
      <c r="H31" s="837"/>
      <c r="I31" s="837"/>
      <c r="J31" s="837"/>
      <c r="K31" s="837"/>
      <c r="L31" s="837"/>
      <c r="M31" s="837"/>
      <c r="N31" s="837"/>
      <c r="O31" s="837"/>
      <c r="P31" s="837"/>
      <c r="Q31" s="837"/>
      <c r="R31" s="837"/>
      <c r="S31" s="837"/>
      <c r="T31" s="837"/>
      <c r="U31" s="837"/>
      <c r="V31" s="837"/>
      <c r="W31" s="837"/>
      <c r="X31" s="837"/>
      <c r="Y31" s="837"/>
    </row>
    <row r="32" spans="2:26" s="374" customFormat="1">
      <c r="B32" s="825" t="s">
        <v>936</v>
      </c>
      <c r="C32" s="829"/>
      <c r="D32" s="833"/>
      <c r="E32" s="833">
        <v>0</v>
      </c>
      <c r="F32" s="833">
        <f>'App 2_12M Revenue'!A12</f>
        <v>0</v>
      </c>
      <c r="G32" s="833">
        <f>'App 2_12M Revenue'!B12</f>
        <v>0</v>
      </c>
      <c r="H32" s="833">
        <f>'App 2_12M Revenue'!C12</f>
        <v>0</v>
      </c>
      <c r="I32" s="833">
        <f>'App 2_12M Revenue'!D12</f>
        <v>0</v>
      </c>
      <c r="J32" s="833"/>
      <c r="K32" s="833"/>
      <c r="L32" s="833"/>
      <c r="M32" s="833"/>
      <c r="N32" s="833">
        <f>'App 2_12M Revenue'!F12</f>
        <v>35539.979126784667</v>
      </c>
      <c r="O32" s="833">
        <f>'App 2_12M Revenue'!G12</f>
        <v>49755.970777498529</v>
      </c>
      <c r="P32" s="833">
        <f>'App 2_12M Revenue'!H12</f>
        <v>69658.359088497935</v>
      </c>
      <c r="Q32" s="833">
        <f>'App 2_12M Revenue'!I12</f>
        <v>97521.70272389712</v>
      </c>
      <c r="R32" s="833">
        <f>'App 2_12M Revenue'!J12</f>
        <v>136530.38381345596</v>
      </c>
      <c r="S32" s="833">
        <f>'App 2_12M Revenue'!K12</f>
        <v>191142.53733883833</v>
      </c>
      <c r="T32" s="833">
        <f>'App 2_12M Revenue'!L12</f>
        <v>267599.55227437371</v>
      </c>
      <c r="U32" s="833">
        <f>'App 2_12M Revenue'!M12</f>
        <v>374639.37318412313</v>
      </c>
      <c r="V32" s="833">
        <f>'App 2_12M Revenue'!N12</f>
        <v>524495.12245777249</v>
      </c>
      <c r="W32" s="833">
        <f>'App 2_12M Revenue'!O12</f>
        <v>734293.17144088133</v>
      </c>
      <c r="X32" s="833">
        <f>'App 2_12M Revenue'!P12</f>
        <v>1028010.4400172336</v>
      </c>
      <c r="Y32" s="833">
        <f t="shared" ca="1" si="22"/>
        <v>2755840.4452040531</v>
      </c>
    </row>
    <row r="33" spans="2:25">
      <c r="B33" s="634"/>
      <c r="C33" s="634"/>
      <c r="D33" s="837"/>
      <c r="E33" s="837"/>
      <c r="F33" s="837"/>
      <c r="G33" s="837"/>
      <c r="H33" s="837"/>
      <c r="I33" s="837"/>
      <c r="J33" s="837"/>
      <c r="K33" s="837"/>
      <c r="L33" s="837"/>
      <c r="M33" s="837"/>
      <c r="N33" s="837"/>
      <c r="O33" s="837"/>
      <c r="P33" s="837"/>
      <c r="Q33" s="837"/>
      <c r="R33" s="837"/>
      <c r="S33" s="837"/>
      <c r="T33" s="837"/>
      <c r="U33" s="837"/>
      <c r="V33" s="837"/>
      <c r="W33" s="837"/>
      <c r="X33" s="837"/>
      <c r="Y33" s="837"/>
    </row>
    <row r="34" spans="2:25">
      <c r="D34" s="834"/>
      <c r="E34" s="834"/>
      <c r="F34" s="834"/>
      <c r="G34" s="834"/>
      <c r="H34" s="834"/>
      <c r="I34" s="834"/>
      <c r="J34" s="834"/>
      <c r="K34" s="834"/>
      <c r="L34" s="834"/>
      <c r="M34" s="834"/>
      <c r="N34" s="834"/>
      <c r="O34" s="834"/>
      <c r="P34" s="834"/>
      <c r="Q34" s="834"/>
      <c r="R34" s="834"/>
      <c r="S34" s="834"/>
      <c r="T34" s="834"/>
      <c r="U34" s="834"/>
      <c r="V34" s="834"/>
      <c r="W34" s="834"/>
      <c r="X34" s="834"/>
      <c r="Y34" s="834"/>
    </row>
    <row r="35" spans="2:25" s="374" customFormat="1" ht="13.5" thickBot="1">
      <c r="B35" s="830" t="s">
        <v>937</v>
      </c>
      <c r="C35" s="831"/>
      <c r="D35" s="838">
        <f>-D19-D30+D32</f>
        <v>-4000</v>
      </c>
      <c r="E35" s="838">
        <f t="shared" ref="E35:Y35" si="23">-E19-E30+E32</f>
        <v>-4000</v>
      </c>
      <c r="F35" s="838">
        <f t="shared" ca="1" si="23"/>
        <v>-3960255</v>
      </c>
      <c r="G35" s="838">
        <f t="shared" si="23"/>
        <v>-17500</v>
      </c>
      <c r="H35" s="838">
        <f t="shared" si="23"/>
        <v>-28500</v>
      </c>
      <c r="I35" s="838">
        <f t="shared" si="23"/>
        <v>-22601</v>
      </c>
      <c r="J35" s="838">
        <f t="shared" si="23"/>
        <v>0</v>
      </c>
      <c r="K35" s="838">
        <f t="shared" si="23"/>
        <v>0</v>
      </c>
      <c r="L35" s="838">
        <f t="shared" si="23"/>
        <v>0</v>
      </c>
      <c r="M35" s="838">
        <f t="shared" ca="1" si="23"/>
        <v>-472642.42852411349</v>
      </c>
      <c r="N35" s="838">
        <f t="shared" ca="1" si="23"/>
        <v>-184206.4493973288</v>
      </c>
      <c r="O35" s="838">
        <f t="shared" ca="1" si="23"/>
        <v>-1389557.6244132817</v>
      </c>
      <c r="P35" s="838">
        <f t="shared" ca="1" si="23"/>
        <v>-79040.736102282215</v>
      </c>
      <c r="Q35" s="838">
        <f t="shared" ca="1" si="23"/>
        <v>-55184.89246688303</v>
      </c>
      <c r="R35" s="838">
        <f t="shared" ca="1" si="23"/>
        <v>-787931.21137732419</v>
      </c>
      <c r="S35" s="838">
        <f t="shared" ca="1" si="23"/>
        <v>37980.108814724837</v>
      </c>
      <c r="T35" s="838">
        <f t="shared" ca="1" si="23"/>
        <v>114972.12375026022</v>
      </c>
      <c r="U35" s="838">
        <f t="shared" ca="1" si="23"/>
        <v>220004.44466000964</v>
      </c>
      <c r="V35" s="838">
        <f t="shared" ca="1" si="23"/>
        <v>371860.193933659</v>
      </c>
      <c r="W35" s="838">
        <f t="shared" ca="1" si="23"/>
        <v>581658.24291676783</v>
      </c>
      <c r="X35" s="838">
        <f t="shared" ca="1" si="23"/>
        <v>100005.51149312011</v>
      </c>
      <c r="Y35" s="838">
        <f t="shared" ca="1" si="23"/>
        <v>-6332284.8637519758</v>
      </c>
    </row>
    <row r="36" spans="2:25" ht="13.5" thickTop="1"/>
  </sheetData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0070C0"/>
  </sheetPr>
  <dimension ref="A2:J165"/>
  <sheetViews>
    <sheetView topLeftCell="D1" workbookViewId="0">
      <selection activeCell="F12" sqref="F12"/>
    </sheetView>
  </sheetViews>
  <sheetFormatPr defaultRowHeight="12.75"/>
  <cols>
    <col min="1" max="1" width="9.140625" style="2"/>
    <col min="2" max="2" width="39" style="2" customWidth="1"/>
    <col min="3" max="8" width="10.85546875" style="2" customWidth="1"/>
    <col min="9" max="16384" width="9.140625" style="2"/>
  </cols>
  <sheetData>
    <row r="2" spans="2:8" ht="19.5">
      <c r="B2" s="326" t="s">
        <v>1666</v>
      </c>
      <c r="D2" s="9"/>
    </row>
    <row r="3" spans="2:8">
      <c r="B3" s="373" t="s">
        <v>103</v>
      </c>
      <c r="D3" s="9"/>
    </row>
    <row r="4" spans="2:8">
      <c r="B4" s="374"/>
      <c r="D4" s="9"/>
    </row>
    <row r="5" spans="2:8">
      <c r="D5" s="9"/>
    </row>
    <row r="6" spans="2:8">
      <c r="B6" s="417" t="s">
        <v>206</v>
      </c>
      <c r="C6" s="375"/>
      <c r="D6" s="375"/>
      <c r="E6" s="375"/>
      <c r="F6" s="375"/>
      <c r="G6" s="417"/>
      <c r="H6" s="695" t="s">
        <v>1611</v>
      </c>
    </row>
    <row r="7" spans="2:8">
      <c r="B7" s="376"/>
      <c r="C7" s="377"/>
      <c r="D7" s="376"/>
      <c r="E7" s="378"/>
      <c r="F7" s="379"/>
      <c r="G7" s="379"/>
      <c r="H7" s="378"/>
    </row>
    <row r="8" spans="2:8">
      <c r="B8" s="380" t="s">
        <v>917</v>
      </c>
      <c r="C8" s="381"/>
      <c r="D8" s="382" t="s">
        <v>29</v>
      </c>
      <c r="E8" s="381" t="s">
        <v>30</v>
      </c>
      <c r="F8" s="382" t="s">
        <v>31</v>
      </c>
      <c r="G8" s="381" t="s">
        <v>32</v>
      </c>
      <c r="H8" s="383" t="s">
        <v>33</v>
      </c>
    </row>
    <row r="9" spans="2:8">
      <c r="B9" s="423" t="s">
        <v>907</v>
      </c>
      <c r="C9" s="424"/>
      <c r="D9" s="384">
        <f t="shared" ref="D9:H11" si="0">D107+D118+D128+D138+D148+D158</f>
        <v>0</v>
      </c>
      <c r="E9" s="384">
        <f t="shared" ca="1" si="0"/>
        <v>7075302</v>
      </c>
      <c r="F9" s="384">
        <f t="shared" ca="1" si="0"/>
        <v>8490362.4000000004</v>
      </c>
      <c r="G9" s="384">
        <f t="shared" ca="1" si="0"/>
        <v>11262761.800000001</v>
      </c>
      <c r="H9" s="385">
        <f t="shared" ca="1" si="0"/>
        <v>12677822.199999999</v>
      </c>
    </row>
    <row r="10" spans="2:8">
      <c r="B10" s="425" t="s">
        <v>908</v>
      </c>
      <c r="C10" s="327"/>
      <c r="D10" s="328">
        <f t="shared" ca="1" si="0"/>
        <v>7075302</v>
      </c>
      <c r="E10" s="328">
        <f t="shared" ca="1" si="0"/>
        <v>1415060.4</v>
      </c>
      <c r="F10" s="328">
        <f t="shared" ca="1" si="0"/>
        <v>2772399.4</v>
      </c>
      <c r="G10" s="328">
        <f t="shared" ca="1" si="0"/>
        <v>1415060.4</v>
      </c>
      <c r="H10" s="407">
        <f t="shared" ca="1" si="0"/>
        <v>1415060.4</v>
      </c>
    </row>
    <row r="11" spans="2:8">
      <c r="B11" s="425" t="s">
        <v>909</v>
      </c>
      <c r="C11" s="327"/>
      <c r="D11" s="389">
        <f t="shared" si="0"/>
        <v>0</v>
      </c>
      <c r="E11" s="389">
        <f t="shared" si="0"/>
        <v>0</v>
      </c>
      <c r="F11" s="389">
        <f t="shared" si="0"/>
        <v>0</v>
      </c>
      <c r="G11" s="389">
        <f t="shared" si="0"/>
        <v>0</v>
      </c>
      <c r="H11" s="435">
        <f t="shared" si="0"/>
        <v>0</v>
      </c>
    </row>
    <row r="12" spans="2:8">
      <c r="B12" s="425" t="s">
        <v>920</v>
      </c>
      <c r="C12" s="327"/>
      <c r="D12" s="328">
        <f ca="1">SUM(D9:D11)</f>
        <v>7075302</v>
      </c>
      <c r="E12" s="328">
        <f t="shared" ref="E12" ca="1" si="1">SUM(E9:E11)</f>
        <v>8490362.4000000004</v>
      </c>
      <c r="F12" s="328">
        <f t="shared" ref="F12" ca="1" si="2">SUM(F9:F11)</f>
        <v>11262761.800000001</v>
      </c>
      <c r="G12" s="328">
        <f t="shared" ref="G12" ca="1" si="3">SUM(G9:G11)</f>
        <v>12677822.200000001</v>
      </c>
      <c r="H12" s="407">
        <f t="shared" ref="H12" ca="1" si="4">SUM(H9:H11)</f>
        <v>14092882.6</v>
      </c>
    </row>
    <row r="13" spans="2:8">
      <c r="B13" s="425"/>
      <c r="C13" s="327"/>
      <c r="D13" s="328"/>
      <c r="E13" s="328"/>
      <c r="F13" s="328"/>
      <c r="G13" s="328"/>
      <c r="H13" s="416"/>
    </row>
    <row r="14" spans="2:8" s="111" customFormat="1">
      <c r="B14" s="427" t="s">
        <v>921</v>
      </c>
      <c r="C14" s="421"/>
      <c r="D14" s="422">
        <f ca="1">SUMIF($B$62:$B$166,$B$68,D$62:D$166)</f>
        <v>-1441955.8095238095</v>
      </c>
      <c r="E14" s="422">
        <f t="shared" ref="E14:H14" ca="1" si="5">SUMIF($B$62:$B$166,$B$68,E$62:E$166)</f>
        <v>-1728132.5224489798</v>
      </c>
      <c r="F14" s="422">
        <f t="shared" ca="1" si="5"/>
        <v>-2287958.4464528672</v>
      </c>
      <c r="G14" s="422">
        <f t="shared" ca="1" si="5"/>
        <v>-2569102.4685825356</v>
      </c>
      <c r="H14" s="428">
        <f t="shared" ca="1" si="5"/>
        <v>-2848058.3104385086</v>
      </c>
    </row>
    <row r="15" spans="2:8">
      <c r="B15" s="425" t="s">
        <v>922</v>
      </c>
      <c r="C15" s="327"/>
      <c r="D15" s="414">
        <f ca="1">D14</f>
        <v>-1441955.8095238095</v>
      </c>
      <c r="E15" s="414">
        <f ca="1">E14+D15</f>
        <v>-3170088.331972789</v>
      </c>
      <c r="F15" s="414">
        <f t="shared" ref="F15" ca="1" si="6">F14+E15</f>
        <v>-5458046.7784256563</v>
      </c>
      <c r="G15" s="414">
        <f t="shared" ref="G15" ca="1" si="7">G14+F15</f>
        <v>-8027149.2470081914</v>
      </c>
      <c r="H15" s="415">
        <f t="shared" ref="H15" ca="1" si="8">H14+G15</f>
        <v>-10875207.5574467</v>
      </c>
    </row>
    <row r="16" spans="2:8">
      <c r="B16" s="429" t="s">
        <v>910</v>
      </c>
      <c r="C16" s="430"/>
      <c r="D16" s="431">
        <f ca="1">D12+D15</f>
        <v>5633346.1904761903</v>
      </c>
      <c r="E16" s="431">
        <f t="shared" ref="E16" ca="1" si="9">E12+E15</f>
        <v>5320274.0680272114</v>
      </c>
      <c r="F16" s="431">
        <f t="shared" ref="F16" ca="1" si="10">F12+F15</f>
        <v>5804715.0215743445</v>
      </c>
      <c r="G16" s="431">
        <f t="shared" ref="G16" ca="1" si="11">G12+G15</f>
        <v>4650672.9529918097</v>
      </c>
      <c r="H16" s="432">
        <f t="shared" ref="H16" ca="1" si="12">H12+H15</f>
        <v>3217675.0425533</v>
      </c>
    </row>
    <row r="17" spans="1:10">
      <c r="B17" s="330"/>
      <c r="C17" s="327"/>
      <c r="D17" s="328"/>
      <c r="E17" s="328"/>
      <c r="F17" s="328"/>
      <c r="G17" s="328"/>
      <c r="H17" s="329"/>
      <c r="J17" s="694"/>
    </row>
    <row r="18" spans="1:10">
      <c r="B18" s="330"/>
      <c r="C18" s="327"/>
      <c r="D18" s="328"/>
      <c r="E18" s="328"/>
      <c r="F18" s="328"/>
      <c r="G18" s="328"/>
      <c r="H18" s="329"/>
    </row>
    <row r="19" spans="1:10">
      <c r="B19" s="380" t="s">
        <v>918</v>
      </c>
      <c r="C19" s="381" t="s">
        <v>234</v>
      </c>
      <c r="D19" s="382" t="s">
        <v>29</v>
      </c>
      <c r="E19" s="381" t="s">
        <v>30</v>
      </c>
      <c r="F19" s="382" t="s">
        <v>31</v>
      </c>
      <c r="G19" s="381" t="s">
        <v>32</v>
      </c>
      <c r="H19" s="383" t="s">
        <v>33</v>
      </c>
    </row>
    <row r="20" spans="1:10">
      <c r="B20" s="425"/>
      <c r="C20" s="327"/>
      <c r="D20" s="328"/>
      <c r="E20" s="328"/>
      <c r="F20" s="328"/>
      <c r="G20" s="328"/>
      <c r="H20" s="407"/>
    </row>
    <row r="21" spans="1:10">
      <c r="B21" s="594" t="str">
        <f>'App 6_Yr 1 Capex'!C10</f>
        <v>Fixture &amp; Fitting out</v>
      </c>
      <c r="C21" s="327">
        <f t="shared" ref="C21:C24" si="13">SUM(D21:H21)</f>
        <v>315000</v>
      </c>
      <c r="D21" s="328">
        <f>'App 6_Yr 1 Capex'!E10</f>
        <v>150000</v>
      </c>
      <c r="E21" s="328">
        <f>$D21*E39</f>
        <v>30000</v>
      </c>
      <c r="F21" s="328">
        <f t="shared" ref="F21:H21" si="14">$D21*F39</f>
        <v>75000</v>
      </c>
      <c r="G21" s="328">
        <f t="shared" si="14"/>
        <v>30000</v>
      </c>
      <c r="H21" s="407">
        <f t="shared" si="14"/>
        <v>30000</v>
      </c>
    </row>
    <row r="22" spans="1:10">
      <c r="B22" s="594" t="str">
        <f>'App 6_Yr 1 Capex'!C11</f>
        <v>Waste management &amp; fire safety system</v>
      </c>
      <c r="C22" s="327">
        <f t="shared" si="13"/>
        <v>2310</v>
      </c>
      <c r="D22" s="328">
        <f>'App 6_Yr 1 Capex'!E11</f>
        <v>1100</v>
      </c>
      <c r="E22" s="328">
        <f t="shared" ref="E22:H30" si="15">$D22*E40</f>
        <v>220</v>
      </c>
      <c r="F22" s="328">
        <f t="shared" si="15"/>
        <v>550</v>
      </c>
      <c r="G22" s="328">
        <f t="shared" si="15"/>
        <v>220</v>
      </c>
      <c r="H22" s="407">
        <f t="shared" si="15"/>
        <v>220</v>
      </c>
    </row>
    <row r="23" spans="1:10">
      <c r="B23" s="594" t="str">
        <f>'App 6_Yr 1 Capex'!C12</f>
        <v>Emergency room</v>
      </c>
      <c r="C23" s="327">
        <f t="shared" si="13"/>
        <v>28890</v>
      </c>
      <c r="D23" s="328">
        <f>'App 6_Yr 1 Capex'!E12</f>
        <v>16050</v>
      </c>
      <c r="E23" s="328">
        <f t="shared" si="15"/>
        <v>3210</v>
      </c>
      <c r="F23" s="328">
        <f t="shared" si="15"/>
        <v>3210</v>
      </c>
      <c r="G23" s="328">
        <f t="shared" si="15"/>
        <v>3210</v>
      </c>
      <c r="H23" s="407">
        <f t="shared" si="15"/>
        <v>3210</v>
      </c>
    </row>
    <row r="24" spans="1:10">
      <c r="A24" s="2" t="s">
        <v>154</v>
      </c>
      <c r="B24" s="594" t="str">
        <f>'App 6_Yr 1 Capex'!C13</f>
        <v>Patient room</v>
      </c>
      <c r="C24" s="327">
        <f t="shared" si="13"/>
        <v>2250</v>
      </c>
      <c r="D24" s="328">
        <f>'App 6_Yr 1 Capex'!E13</f>
        <v>1250</v>
      </c>
      <c r="E24" s="328">
        <f t="shared" si="15"/>
        <v>250</v>
      </c>
      <c r="F24" s="328">
        <f t="shared" si="15"/>
        <v>250</v>
      </c>
      <c r="G24" s="328">
        <f t="shared" si="15"/>
        <v>250</v>
      </c>
      <c r="H24" s="407">
        <f t="shared" si="15"/>
        <v>250</v>
      </c>
    </row>
    <row r="25" spans="1:10">
      <c r="A25" s="2" t="s">
        <v>154</v>
      </c>
      <c r="B25" s="594" t="str">
        <f>'App 6_Yr 1 Capex'!C14</f>
        <v>Check-up</v>
      </c>
      <c r="C25" s="327">
        <f>SUM(D25:H25)</f>
        <v>119460</v>
      </c>
      <c r="D25" s="328">
        <f>'App 6_Yr 1 Capex'!E14</f>
        <v>59730</v>
      </c>
      <c r="E25" s="328">
        <f t="shared" si="15"/>
        <v>11946</v>
      </c>
      <c r="F25" s="328">
        <f t="shared" si="15"/>
        <v>23892</v>
      </c>
      <c r="G25" s="328">
        <f t="shared" si="15"/>
        <v>11946</v>
      </c>
      <c r="H25" s="407">
        <f t="shared" si="15"/>
        <v>11946</v>
      </c>
    </row>
    <row r="26" spans="1:10">
      <c r="A26" s="2" t="s">
        <v>154</v>
      </c>
      <c r="B26" s="594" t="str">
        <f>'App 6_Yr 1 Capex'!C15</f>
        <v>Laboratory</v>
      </c>
      <c r="C26" s="327">
        <f t="shared" ref="C26:C30" ca="1" si="16">SUM(D26:H26)</f>
        <v>8026726</v>
      </c>
      <c r="D26" s="328">
        <f ca="1">'App 6_Yr 1 Capex'!E15</f>
        <v>4013363</v>
      </c>
      <c r="E26" s="328">
        <f t="shared" ca="1" si="15"/>
        <v>802672.60000000009</v>
      </c>
      <c r="F26" s="328">
        <f t="shared" ca="1" si="15"/>
        <v>1605345.2000000002</v>
      </c>
      <c r="G26" s="328">
        <f t="shared" ca="1" si="15"/>
        <v>802672.60000000009</v>
      </c>
      <c r="H26" s="407">
        <f t="shared" ca="1" si="15"/>
        <v>802672.60000000009</v>
      </c>
    </row>
    <row r="27" spans="1:10">
      <c r="A27" s="2" t="s">
        <v>154</v>
      </c>
      <c r="B27" s="594" t="str">
        <f>'App 6_Yr 1 Capex'!C16</f>
        <v>Imaging Diagnosis</v>
      </c>
      <c r="C27" s="327">
        <f t="shared" si="16"/>
        <v>5427204.0000000009</v>
      </c>
      <c r="D27" s="328">
        <f>'App 6_Yr 1 Capex'!E16</f>
        <v>2713602</v>
      </c>
      <c r="E27" s="328">
        <f t="shared" si="15"/>
        <v>542720.4</v>
      </c>
      <c r="F27" s="328">
        <f t="shared" si="15"/>
        <v>1085440.8</v>
      </c>
      <c r="G27" s="328">
        <f t="shared" si="15"/>
        <v>542720.4</v>
      </c>
      <c r="H27" s="407">
        <f t="shared" si="15"/>
        <v>542720.4</v>
      </c>
    </row>
    <row r="28" spans="1:10">
      <c r="A28" s="2" t="s">
        <v>154</v>
      </c>
      <c r="B28" s="594" t="str">
        <f>'App 6_Yr 1 Capex'!C17</f>
        <v>Computers and softwares</v>
      </c>
      <c r="C28" s="327">
        <f t="shared" si="16"/>
        <v>185556.59999999998</v>
      </c>
      <c r="D28" s="328">
        <f>'App 6_Yr 1 Capex'!E17</f>
        <v>103087</v>
      </c>
      <c r="E28" s="328">
        <f t="shared" si="15"/>
        <v>20617.400000000001</v>
      </c>
      <c r="F28" s="328">
        <f t="shared" si="15"/>
        <v>20617.400000000001</v>
      </c>
      <c r="G28" s="328">
        <f t="shared" si="15"/>
        <v>20617.400000000001</v>
      </c>
      <c r="H28" s="407">
        <f t="shared" si="15"/>
        <v>20617.400000000001</v>
      </c>
    </row>
    <row r="29" spans="1:10">
      <c r="A29" s="2" t="s">
        <v>154</v>
      </c>
      <c r="B29" s="594" t="str">
        <f>'App 6_Yr 1 Capex'!C18</f>
        <v>Furnitures</v>
      </c>
      <c r="C29" s="327">
        <f t="shared" ca="1" si="16"/>
        <v>38736</v>
      </c>
      <c r="D29" s="328">
        <f ca="1">'App 6_Yr 1 Capex'!E18</f>
        <v>21520</v>
      </c>
      <c r="E29" s="328">
        <f t="shared" ca="1" si="15"/>
        <v>4304</v>
      </c>
      <c r="F29" s="328">
        <f t="shared" ca="1" si="15"/>
        <v>4304</v>
      </c>
      <c r="G29" s="328">
        <f t="shared" ca="1" si="15"/>
        <v>4304</v>
      </c>
      <c r="H29" s="407">
        <f t="shared" ca="1" si="15"/>
        <v>4304</v>
      </c>
    </row>
    <row r="30" spans="1:10">
      <c r="A30" s="2" t="s">
        <v>154</v>
      </c>
      <c r="B30" s="594" t="str">
        <f>'App 6_Yr 1 Capex'!C19</f>
        <v>Vehicles</v>
      </c>
      <c r="C30" s="327">
        <f t="shared" ca="1" si="16"/>
        <v>295200</v>
      </c>
      <c r="D30" s="328">
        <f ca="1">'App 6_Yr 1 Capex'!E19</f>
        <v>164000</v>
      </c>
      <c r="E30" s="328">
        <f t="shared" ca="1" si="15"/>
        <v>32800</v>
      </c>
      <c r="F30" s="328">
        <f t="shared" ca="1" si="15"/>
        <v>32800</v>
      </c>
      <c r="G30" s="328">
        <f t="shared" ca="1" si="15"/>
        <v>32800</v>
      </c>
      <c r="H30" s="407">
        <f t="shared" ca="1" si="15"/>
        <v>32800</v>
      </c>
    </row>
    <row r="31" spans="1:10">
      <c r="B31" s="388"/>
      <c r="C31" s="389"/>
      <c r="D31" s="389"/>
      <c r="E31" s="389"/>
      <c r="F31" s="389"/>
      <c r="G31" s="389"/>
      <c r="H31" s="390"/>
    </row>
    <row r="32" spans="1:10">
      <c r="B32" s="391" t="s">
        <v>239</v>
      </c>
      <c r="C32" s="392">
        <f ca="1">SUM(D32:H32)</f>
        <v>14261282.600000001</v>
      </c>
      <c r="D32" s="392">
        <f ca="1">SUM(D21:D30)</f>
        <v>7243702</v>
      </c>
      <c r="E32" s="392">
        <f ca="1">SUM(E25:E30)</f>
        <v>1415060.4</v>
      </c>
      <c r="F32" s="392">
        <f ca="1">SUM(F25:F30)</f>
        <v>2772399.4</v>
      </c>
      <c r="G32" s="392">
        <f ca="1">SUM(G25:G30)</f>
        <v>1415060.4</v>
      </c>
      <c r="H32" s="393">
        <f ca="1">SUM(H25:H30)</f>
        <v>1415060.4</v>
      </c>
    </row>
    <row r="34" spans="2:8">
      <c r="B34" s="23" t="s">
        <v>1602</v>
      </c>
      <c r="C34" s="23"/>
      <c r="D34" s="23">
        <f>'App 10_5Yr Op Exp'!E20</f>
        <v>1500</v>
      </c>
      <c r="E34" s="23">
        <f>'App 10_5Yr Op Exp'!F20</f>
        <v>1500</v>
      </c>
      <c r="F34" s="23">
        <f>'App 10_5Yr Op Exp'!G20</f>
        <v>3000</v>
      </c>
      <c r="G34" s="23">
        <f>'App 10_5Yr Op Exp'!H20</f>
        <v>3000</v>
      </c>
      <c r="H34" s="23">
        <f>'App 10_5Yr Op Exp'!I20</f>
        <v>3000</v>
      </c>
    </row>
    <row r="35" spans="2:8">
      <c r="B35" s="23" t="s">
        <v>1603</v>
      </c>
      <c r="C35" s="23"/>
      <c r="D35" s="23"/>
      <c r="E35" s="36">
        <f>E34/D34-1</f>
        <v>0</v>
      </c>
      <c r="F35" s="36">
        <f t="shared" ref="F35:H35" si="17">F34/E34-1</f>
        <v>1</v>
      </c>
      <c r="G35" s="36">
        <f t="shared" si="17"/>
        <v>0</v>
      </c>
      <c r="H35" s="36">
        <f t="shared" si="17"/>
        <v>0</v>
      </c>
    </row>
    <row r="37" spans="2:8" ht="13.5" thickBot="1">
      <c r="B37" s="394" t="s">
        <v>905</v>
      </c>
      <c r="C37" s="395"/>
      <c r="D37" s="396" t="s">
        <v>29</v>
      </c>
      <c r="E37" s="395" t="s">
        <v>30</v>
      </c>
      <c r="F37" s="396" t="s">
        <v>31</v>
      </c>
      <c r="G37" s="395" t="s">
        <v>32</v>
      </c>
      <c r="H37" s="397" t="s">
        <v>33</v>
      </c>
    </row>
    <row r="38" spans="2:8" ht="6" customHeight="1">
      <c r="B38" s="386"/>
      <c r="C38" s="328"/>
      <c r="D38" s="328"/>
      <c r="E38" s="328"/>
      <c r="F38" s="328"/>
      <c r="G38" s="328"/>
      <c r="H38" s="387"/>
    </row>
    <row r="39" spans="2:8" ht="13.5" customHeight="1">
      <c r="B39" s="386" t="str">
        <f>B21</f>
        <v>Fixture &amp; Fitting out</v>
      </c>
      <c r="C39" s="328"/>
      <c r="D39" s="328"/>
      <c r="E39" s="618">
        <v>0.2</v>
      </c>
      <c r="F39" s="618">
        <v>0.5</v>
      </c>
      <c r="G39" s="618">
        <v>0.2</v>
      </c>
      <c r="H39" s="848">
        <v>0.2</v>
      </c>
    </row>
    <row r="40" spans="2:8" ht="13.5" customHeight="1">
      <c r="B40" s="386" t="str">
        <f t="shared" ref="B40:B42" si="18">B22</f>
        <v>Waste management &amp; fire safety system</v>
      </c>
      <c r="C40" s="328"/>
      <c r="D40" s="328"/>
      <c r="E40" s="618">
        <v>0.2</v>
      </c>
      <c r="F40" s="618">
        <v>0.5</v>
      </c>
      <c r="G40" s="618">
        <v>0.2</v>
      </c>
      <c r="H40" s="848">
        <v>0.2</v>
      </c>
    </row>
    <row r="41" spans="2:8" ht="13.5" customHeight="1">
      <c r="B41" s="386" t="str">
        <f t="shared" si="18"/>
        <v>Emergency room</v>
      </c>
      <c r="C41" s="328"/>
      <c r="D41" s="328"/>
      <c r="E41" s="618">
        <v>0.2</v>
      </c>
      <c r="F41" s="618">
        <v>0.2</v>
      </c>
      <c r="G41" s="618">
        <v>0.2</v>
      </c>
      <c r="H41" s="848">
        <v>0.2</v>
      </c>
    </row>
    <row r="42" spans="2:8" ht="13.5" customHeight="1">
      <c r="B42" s="386" t="str">
        <f t="shared" si="18"/>
        <v>Patient room</v>
      </c>
      <c r="C42" s="328"/>
      <c r="D42" s="328"/>
      <c r="E42" s="618">
        <v>0.2</v>
      </c>
      <c r="F42" s="618">
        <v>0.2</v>
      </c>
      <c r="G42" s="618">
        <v>0.2</v>
      </c>
      <c r="H42" s="848">
        <v>0.2</v>
      </c>
    </row>
    <row r="43" spans="2:8">
      <c r="B43" s="386" t="str">
        <f>B25</f>
        <v>Check-up</v>
      </c>
      <c r="C43" s="328"/>
      <c r="D43" s="328">
        <v>0</v>
      </c>
      <c r="E43" s="618">
        <v>0.2</v>
      </c>
      <c r="F43" s="618">
        <v>0.4</v>
      </c>
      <c r="G43" s="618">
        <v>0.2</v>
      </c>
      <c r="H43" s="848">
        <v>0.2</v>
      </c>
    </row>
    <row r="44" spans="2:8">
      <c r="B44" s="386" t="str">
        <f t="shared" ref="B44:B48" si="19">B26</f>
        <v>Laboratory</v>
      </c>
      <c r="C44" s="398"/>
      <c r="D44" s="328">
        <v>0</v>
      </c>
      <c r="E44" s="618">
        <v>0.2</v>
      </c>
      <c r="F44" s="618">
        <v>0.4</v>
      </c>
      <c r="G44" s="618">
        <v>0.2</v>
      </c>
      <c r="H44" s="848">
        <v>0.2</v>
      </c>
    </row>
    <row r="45" spans="2:8">
      <c r="B45" s="386" t="str">
        <f t="shared" si="19"/>
        <v>Imaging Diagnosis</v>
      </c>
      <c r="C45" s="398"/>
      <c r="D45" s="328"/>
      <c r="E45" s="618">
        <v>0.2</v>
      </c>
      <c r="F45" s="618">
        <v>0.4</v>
      </c>
      <c r="G45" s="618">
        <v>0.2</v>
      </c>
      <c r="H45" s="848">
        <v>0.2</v>
      </c>
    </row>
    <row r="46" spans="2:8">
      <c r="B46" s="386" t="str">
        <f t="shared" si="19"/>
        <v>Computers and softwares</v>
      </c>
      <c r="C46" s="398"/>
      <c r="D46" s="328"/>
      <c r="E46" s="618">
        <v>0.2</v>
      </c>
      <c r="F46" s="618">
        <v>0.2</v>
      </c>
      <c r="G46" s="618">
        <v>0.2</v>
      </c>
      <c r="H46" s="848">
        <v>0.2</v>
      </c>
    </row>
    <row r="47" spans="2:8">
      <c r="B47" s="386" t="str">
        <f t="shared" si="19"/>
        <v>Furnitures</v>
      </c>
      <c r="C47" s="398"/>
      <c r="D47" s="328"/>
      <c r="E47" s="618">
        <v>0.2</v>
      </c>
      <c r="F47" s="618">
        <v>0.2</v>
      </c>
      <c r="G47" s="618">
        <v>0.2</v>
      </c>
      <c r="H47" s="848">
        <v>0.2</v>
      </c>
    </row>
    <row r="48" spans="2:8">
      <c r="B48" s="406" t="str">
        <f t="shared" si="19"/>
        <v>Vehicles</v>
      </c>
      <c r="C48" s="399"/>
      <c r="D48" s="400">
        <v>0</v>
      </c>
      <c r="E48" s="847">
        <v>0.2</v>
      </c>
      <c r="F48" s="847">
        <v>0.2</v>
      </c>
      <c r="G48" s="847">
        <v>0.2</v>
      </c>
      <c r="H48" s="849">
        <v>0.2</v>
      </c>
    </row>
    <row r="49" spans="2:8">
      <c r="B49" s="329"/>
      <c r="C49" s="398"/>
      <c r="D49" s="328"/>
      <c r="E49" s="401"/>
      <c r="F49" s="402"/>
      <c r="G49" s="402"/>
      <c r="H49" s="402"/>
    </row>
    <row r="50" spans="2:8" ht="13.5" thickBot="1">
      <c r="B50" s="394" t="s">
        <v>906</v>
      </c>
      <c r="C50" s="394" t="s">
        <v>916</v>
      </c>
      <c r="D50" s="394"/>
      <c r="E50" s="394"/>
      <c r="F50" s="394"/>
      <c r="G50" s="394"/>
      <c r="H50" s="394"/>
    </row>
    <row r="51" spans="2:8">
      <c r="B51" s="408" t="str">
        <f>B21</f>
        <v>Fixture &amp; Fitting out</v>
      </c>
      <c r="C51" s="418">
        <v>10</v>
      </c>
      <c r="D51" s="409">
        <f>1/C51</f>
        <v>0.1</v>
      </c>
      <c r="E51" s="409">
        <f>D51</f>
        <v>0.1</v>
      </c>
      <c r="F51" s="409">
        <f t="shared" ref="F51" si="20">E51</f>
        <v>0.1</v>
      </c>
      <c r="G51" s="409">
        <f t="shared" ref="G51" si="21">F51</f>
        <v>0.1</v>
      </c>
      <c r="H51" s="410">
        <f t="shared" ref="H51" si="22">G51</f>
        <v>0.1</v>
      </c>
    </row>
    <row r="52" spans="2:8">
      <c r="B52" s="386" t="str">
        <f t="shared" ref="B52:B54" si="23">B22</f>
        <v>Waste management &amp; fire safety system</v>
      </c>
      <c r="C52" s="419">
        <v>7</v>
      </c>
      <c r="D52" s="402">
        <f t="shared" ref="D52:D54" si="24">1/C52</f>
        <v>0.14285714285714285</v>
      </c>
      <c r="E52" s="402">
        <f t="shared" ref="E52:E54" si="25">D52</f>
        <v>0.14285714285714285</v>
      </c>
      <c r="F52" s="402">
        <f t="shared" ref="F52:F54" si="26">E52</f>
        <v>0.14285714285714285</v>
      </c>
      <c r="G52" s="402">
        <f t="shared" ref="G52:G54" si="27">F52</f>
        <v>0.14285714285714285</v>
      </c>
      <c r="H52" s="411">
        <f t="shared" ref="H52:H54" si="28">G52</f>
        <v>0.14285714285714285</v>
      </c>
    </row>
    <row r="53" spans="2:8">
      <c r="B53" s="386" t="str">
        <f t="shared" si="23"/>
        <v>Emergency room</v>
      </c>
      <c r="C53" s="419">
        <v>5</v>
      </c>
      <c r="D53" s="402">
        <f t="shared" si="24"/>
        <v>0.2</v>
      </c>
      <c r="E53" s="402">
        <f t="shared" si="25"/>
        <v>0.2</v>
      </c>
      <c r="F53" s="402">
        <f t="shared" si="26"/>
        <v>0.2</v>
      </c>
      <c r="G53" s="402">
        <f t="shared" si="27"/>
        <v>0.2</v>
      </c>
      <c r="H53" s="411">
        <f t="shared" si="28"/>
        <v>0.2</v>
      </c>
    </row>
    <row r="54" spans="2:8">
      <c r="B54" s="386" t="str">
        <f t="shared" si="23"/>
        <v>Patient room</v>
      </c>
      <c r="C54" s="419">
        <v>5</v>
      </c>
      <c r="D54" s="402">
        <f t="shared" si="24"/>
        <v>0.2</v>
      </c>
      <c r="E54" s="402">
        <f t="shared" si="25"/>
        <v>0.2</v>
      </c>
      <c r="F54" s="402">
        <f t="shared" si="26"/>
        <v>0.2</v>
      </c>
      <c r="G54" s="402">
        <f t="shared" si="27"/>
        <v>0.2</v>
      </c>
      <c r="H54" s="411">
        <f t="shared" si="28"/>
        <v>0.2</v>
      </c>
    </row>
    <row r="55" spans="2:8">
      <c r="B55" s="386" t="str">
        <f>B25</f>
        <v>Check-up</v>
      </c>
      <c r="C55" s="419">
        <v>5</v>
      </c>
      <c r="D55" s="402">
        <f>1/C55</f>
        <v>0.2</v>
      </c>
      <c r="E55" s="402">
        <f>D55</f>
        <v>0.2</v>
      </c>
      <c r="F55" s="402">
        <f t="shared" ref="F55:H55" si="29">E55</f>
        <v>0.2</v>
      </c>
      <c r="G55" s="402">
        <f t="shared" si="29"/>
        <v>0.2</v>
      </c>
      <c r="H55" s="411">
        <f t="shared" si="29"/>
        <v>0.2</v>
      </c>
    </row>
    <row r="56" spans="2:8">
      <c r="B56" s="386" t="str">
        <f t="shared" ref="B56:B59" si="30">B26</f>
        <v>Laboratory</v>
      </c>
      <c r="C56" s="419">
        <v>5</v>
      </c>
      <c r="D56" s="402">
        <f t="shared" ref="D56:D60" si="31">1/C56</f>
        <v>0.2</v>
      </c>
      <c r="E56" s="402">
        <f t="shared" ref="E56:H60" si="32">D56</f>
        <v>0.2</v>
      </c>
      <c r="F56" s="402">
        <f t="shared" si="32"/>
        <v>0.2</v>
      </c>
      <c r="G56" s="402">
        <f t="shared" si="32"/>
        <v>0.2</v>
      </c>
      <c r="H56" s="411">
        <f t="shared" si="32"/>
        <v>0.2</v>
      </c>
    </row>
    <row r="57" spans="2:8">
      <c r="B57" s="386" t="str">
        <f t="shared" si="30"/>
        <v>Imaging Diagnosis</v>
      </c>
      <c r="C57" s="419">
        <v>5</v>
      </c>
      <c r="D57" s="402">
        <f t="shared" si="31"/>
        <v>0.2</v>
      </c>
      <c r="E57" s="402">
        <f t="shared" si="32"/>
        <v>0.2</v>
      </c>
      <c r="F57" s="402">
        <f t="shared" si="32"/>
        <v>0.2</v>
      </c>
      <c r="G57" s="402">
        <f t="shared" si="32"/>
        <v>0.2</v>
      </c>
      <c r="H57" s="411">
        <f t="shared" si="32"/>
        <v>0.2</v>
      </c>
    </row>
    <row r="58" spans="2:8">
      <c r="B58" s="386" t="str">
        <f t="shared" si="30"/>
        <v>Computers and softwares</v>
      </c>
      <c r="C58" s="419">
        <v>3</v>
      </c>
      <c r="D58" s="402">
        <f t="shared" si="31"/>
        <v>0.33333333333333331</v>
      </c>
      <c r="E58" s="402">
        <f t="shared" si="32"/>
        <v>0.33333333333333331</v>
      </c>
      <c r="F58" s="402">
        <f t="shared" si="32"/>
        <v>0.33333333333333331</v>
      </c>
      <c r="G58" s="402">
        <f t="shared" si="32"/>
        <v>0.33333333333333331</v>
      </c>
      <c r="H58" s="411">
        <f t="shared" si="32"/>
        <v>0.33333333333333331</v>
      </c>
    </row>
    <row r="59" spans="2:8">
      <c r="B59" s="386" t="str">
        <f t="shared" si="30"/>
        <v>Furnitures</v>
      </c>
      <c r="C59" s="419">
        <v>5</v>
      </c>
      <c r="D59" s="402">
        <f t="shared" si="31"/>
        <v>0.2</v>
      </c>
      <c r="E59" s="402">
        <f t="shared" si="32"/>
        <v>0.2</v>
      </c>
      <c r="F59" s="402">
        <f t="shared" si="32"/>
        <v>0.2</v>
      </c>
      <c r="G59" s="402">
        <f t="shared" si="32"/>
        <v>0.2</v>
      </c>
      <c r="H59" s="411">
        <f t="shared" si="32"/>
        <v>0.2</v>
      </c>
    </row>
    <row r="60" spans="2:8">
      <c r="B60" s="406" t="str">
        <f>B30</f>
        <v>Vehicles</v>
      </c>
      <c r="C60" s="420">
        <v>6</v>
      </c>
      <c r="D60" s="412">
        <f t="shared" si="31"/>
        <v>0.16666666666666666</v>
      </c>
      <c r="E60" s="412">
        <f t="shared" si="32"/>
        <v>0.16666666666666666</v>
      </c>
      <c r="F60" s="412">
        <f t="shared" si="32"/>
        <v>0.16666666666666666</v>
      </c>
      <c r="G60" s="412">
        <f t="shared" si="32"/>
        <v>0.16666666666666666</v>
      </c>
      <c r="H60" s="413">
        <f t="shared" si="32"/>
        <v>0.16666666666666666</v>
      </c>
    </row>
    <row r="61" spans="2:8">
      <c r="B61" s="329"/>
      <c r="C61" s="327"/>
      <c r="D61" s="328"/>
      <c r="E61" s="328"/>
      <c r="F61" s="328"/>
      <c r="G61" s="328"/>
      <c r="H61" s="328"/>
    </row>
    <row r="62" spans="2:8">
      <c r="B62" s="380" t="s">
        <v>1759</v>
      </c>
      <c r="C62" s="381"/>
      <c r="D62" s="382"/>
      <c r="E62" s="381"/>
      <c r="F62" s="382"/>
      <c r="G62" s="381"/>
      <c r="H62" s="383"/>
    </row>
    <row r="63" spans="2:8">
      <c r="B63" s="423" t="s">
        <v>907</v>
      </c>
      <c r="C63" s="424"/>
      <c r="D63" s="384">
        <v>0</v>
      </c>
      <c r="E63" s="384">
        <f>D71</f>
        <v>135000</v>
      </c>
      <c r="F63" s="384">
        <f t="shared" ref="F63:H63" si="33">E71</f>
        <v>133500</v>
      </c>
      <c r="G63" s="384">
        <f t="shared" si="33"/>
        <v>156150</v>
      </c>
      <c r="H63" s="433">
        <f t="shared" si="33"/>
        <v>115185</v>
      </c>
    </row>
    <row r="64" spans="2:8">
      <c r="B64" s="425" t="s">
        <v>919</v>
      </c>
      <c r="C64" s="327"/>
      <c r="D64" s="328">
        <f>D21</f>
        <v>150000</v>
      </c>
      <c r="E64" s="328">
        <f t="shared" ref="E64:H64" si="34">E21</f>
        <v>30000</v>
      </c>
      <c r="F64" s="328">
        <f t="shared" si="34"/>
        <v>75000</v>
      </c>
      <c r="G64" s="328">
        <f t="shared" si="34"/>
        <v>30000</v>
      </c>
      <c r="H64" s="407">
        <f t="shared" si="34"/>
        <v>30000</v>
      </c>
    </row>
    <row r="65" spans="2:8">
      <c r="B65" s="425" t="s">
        <v>909</v>
      </c>
      <c r="C65" s="327"/>
      <c r="D65" s="389">
        <v>0</v>
      </c>
      <c r="E65" s="389">
        <v>0</v>
      </c>
      <c r="F65" s="389">
        <v>0</v>
      </c>
      <c r="G65" s="389">
        <v>0</v>
      </c>
      <c r="H65" s="426">
        <v>0</v>
      </c>
    </row>
    <row r="66" spans="2:8">
      <c r="B66" s="425" t="s">
        <v>920</v>
      </c>
      <c r="C66" s="327"/>
      <c r="D66" s="328">
        <f>SUM(D63:D65)</f>
        <v>150000</v>
      </c>
      <c r="E66" s="328">
        <f t="shared" ref="E66:H66" si="35">SUM(E63:E65)</f>
        <v>165000</v>
      </c>
      <c r="F66" s="328">
        <f t="shared" si="35"/>
        <v>208500</v>
      </c>
      <c r="G66" s="328">
        <f t="shared" si="35"/>
        <v>186150</v>
      </c>
      <c r="H66" s="407">
        <f t="shared" si="35"/>
        <v>145185</v>
      </c>
    </row>
    <row r="67" spans="2:8">
      <c r="B67" s="425"/>
      <c r="C67" s="327"/>
      <c r="D67" s="328"/>
      <c r="E67" s="328"/>
      <c r="F67" s="328"/>
      <c r="G67" s="328"/>
      <c r="H67" s="407"/>
    </row>
    <row r="68" spans="2:8" s="111" customFormat="1">
      <c r="B68" s="427" t="s">
        <v>921</v>
      </c>
      <c r="C68" s="421"/>
      <c r="D68" s="422">
        <f>-D66*D51</f>
        <v>-15000</v>
      </c>
      <c r="E68" s="422">
        <f t="shared" ref="E68:H68" si="36">-E66*E51</f>
        <v>-16500</v>
      </c>
      <c r="F68" s="422">
        <f t="shared" si="36"/>
        <v>-20850</v>
      </c>
      <c r="G68" s="422">
        <f t="shared" si="36"/>
        <v>-18615</v>
      </c>
      <c r="H68" s="428">
        <f t="shared" si="36"/>
        <v>-14518.5</v>
      </c>
    </row>
    <row r="69" spans="2:8">
      <c r="B69" s="425" t="s">
        <v>922</v>
      </c>
      <c r="C69" s="327"/>
      <c r="D69" s="414">
        <f>C69+D68</f>
        <v>-15000</v>
      </c>
      <c r="E69" s="414">
        <f t="shared" ref="E69:H69" si="37">D69+E68</f>
        <v>-31500</v>
      </c>
      <c r="F69" s="414">
        <f t="shared" si="37"/>
        <v>-52350</v>
      </c>
      <c r="G69" s="414">
        <f t="shared" si="37"/>
        <v>-70965</v>
      </c>
      <c r="H69" s="415">
        <f t="shared" si="37"/>
        <v>-85483.5</v>
      </c>
    </row>
    <row r="70" spans="2:8">
      <c r="B70" s="425"/>
      <c r="C70" s="327"/>
      <c r="D70" s="414"/>
      <c r="E70" s="414"/>
      <c r="F70" s="414"/>
      <c r="G70" s="414"/>
      <c r="H70" s="415"/>
    </row>
    <row r="71" spans="2:8">
      <c r="B71" s="429" t="s">
        <v>910</v>
      </c>
      <c r="C71" s="430"/>
      <c r="D71" s="431">
        <f>SUM(D66,D69)</f>
        <v>135000</v>
      </c>
      <c r="E71" s="431">
        <f t="shared" ref="E71:H71" si="38">SUM(E66,E69)</f>
        <v>133500</v>
      </c>
      <c r="F71" s="431">
        <f t="shared" si="38"/>
        <v>156150</v>
      </c>
      <c r="G71" s="431">
        <f t="shared" si="38"/>
        <v>115185</v>
      </c>
      <c r="H71" s="432">
        <f t="shared" si="38"/>
        <v>59701.5</v>
      </c>
    </row>
    <row r="72" spans="2:8">
      <c r="B72" s="329"/>
      <c r="C72" s="327"/>
      <c r="D72" s="328"/>
      <c r="E72" s="328"/>
      <c r="F72" s="328"/>
      <c r="G72" s="328"/>
      <c r="H72" s="328"/>
    </row>
    <row r="73" spans="2:8">
      <c r="B73" s="380" t="s">
        <v>1598</v>
      </c>
      <c r="C73" s="381"/>
      <c r="D73" s="382"/>
      <c r="E73" s="381"/>
      <c r="F73" s="382"/>
      <c r="G73" s="381"/>
      <c r="H73" s="383"/>
    </row>
    <row r="74" spans="2:8">
      <c r="B74" s="423" t="s">
        <v>907</v>
      </c>
      <c r="C74" s="424"/>
      <c r="D74" s="384">
        <v>0</v>
      </c>
      <c r="E74" s="384">
        <f>D82</f>
        <v>942.85714285714289</v>
      </c>
      <c r="F74" s="384">
        <f t="shared" ref="F74:H74" si="39">E82</f>
        <v>839.59183673469397</v>
      </c>
      <c r="G74" s="384">
        <f t="shared" si="39"/>
        <v>867.81341107871731</v>
      </c>
      <c r="H74" s="433">
        <f t="shared" si="39"/>
        <v>410.63306955435246</v>
      </c>
    </row>
    <row r="75" spans="2:8">
      <c r="B75" s="425" t="s">
        <v>919</v>
      </c>
      <c r="C75" s="327"/>
      <c r="D75" s="328">
        <f>D22</f>
        <v>1100</v>
      </c>
      <c r="E75" s="328">
        <f t="shared" ref="E75:H75" si="40">E22</f>
        <v>220</v>
      </c>
      <c r="F75" s="328">
        <f t="shared" si="40"/>
        <v>550</v>
      </c>
      <c r="G75" s="328">
        <f t="shared" si="40"/>
        <v>220</v>
      </c>
      <c r="H75" s="407">
        <f t="shared" si="40"/>
        <v>220</v>
      </c>
    </row>
    <row r="76" spans="2:8">
      <c r="B76" s="425" t="s">
        <v>909</v>
      </c>
      <c r="C76" s="327"/>
      <c r="D76" s="389">
        <v>0</v>
      </c>
      <c r="E76" s="389">
        <v>0</v>
      </c>
      <c r="F76" s="389">
        <v>0</v>
      </c>
      <c r="G76" s="389">
        <v>0</v>
      </c>
      <c r="H76" s="426">
        <v>0</v>
      </c>
    </row>
    <row r="77" spans="2:8">
      <c r="B77" s="425" t="s">
        <v>920</v>
      </c>
      <c r="C77" s="327"/>
      <c r="D77" s="328">
        <f>SUM(D74:D76)</f>
        <v>1100</v>
      </c>
      <c r="E77" s="328">
        <f t="shared" ref="E77:H77" si="41">SUM(E74:E76)</f>
        <v>1162.8571428571429</v>
      </c>
      <c r="F77" s="328">
        <f t="shared" si="41"/>
        <v>1389.591836734694</v>
      </c>
      <c r="G77" s="328">
        <f t="shared" si="41"/>
        <v>1087.8134110787173</v>
      </c>
      <c r="H77" s="407">
        <f t="shared" si="41"/>
        <v>630.63306955435246</v>
      </c>
    </row>
    <row r="78" spans="2:8">
      <c r="B78" s="425"/>
      <c r="C78" s="327"/>
      <c r="D78" s="328"/>
      <c r="E78" s="328"/>
      <c r="F78" s="328"/>
      <c r="G78" s="328"/>
      <c r="H78" s="407"/>
    </row>
    <row r="79" spans="2:8" s="111" customFormat="1">
      <c r="B79" s="427" t="s">
        <v>921</v>
      </c>
      <c r="C79" s="421"/>
      <c r="D79" s="422">
        <f>-D77*D52</f>
        <v>-157.14285714285714</v>
      </c>
      <c r="E79" s="422">
        <f t="shared" ref="E79:H79" si="42">-E77*E52</f>
        <v>-166.12244897959184</v>
      </c>
      <c r="F79" s="422">
        <f t="shared" si="42"/>
        <v>-198.51311953352769</v>
      </c>
      <c r="G79" s="422">
        <f t="shared" si="42"/>
        <v>-155.40191586838819</v>
      </c>
      <c r="H79" s="428">
        <f t="shared" si="42"/>
        <v>-90.090438507764631</v>
      </c>
    </row>
    <row r="80" spans="2:8">
      <c r="B80" s="425" t="s">
        <v>922</v>
      </c>
      <c r="C80" s="327"/>
      <c r="D80" s="414">
        <f>C80+D79</f>
        <v>-157.14285714285714</v>
      </c>
      <c r="E80" s="414">
        <f t="shared" ref="E80:H80" si="43">D80+E79</f>
        <v>-323.26530612244898</v>
      </c>
      <c r="F80" s="414">
        <f t="shared" si="43"/>
        <v>-521.77842565597666</v>
      </c>
      <c r="G80" s="414">
        <f t="shared" si="43"/>
        <v>-677.18034152436485</v>
      </c>
      <c r="H80" s="415">
        <f t="shared" si="43"/>
        <v>-767.27078003212944</v>
      </c>
    </row>
    <row r="81" spans="2:8">
      <c r="B81" s="425"/>
      <c r="C81" s="327"/>
      <c r="D81" s="414"/>
      <c r="E81" s="414"/>
      <c r="F81" s="414"/>
      <c r="G81" s="414"/>
      <c r="H81" s="415"/>
    </row>
    <row r="82" spans="2:8">
      <c r="B82" s="429" t="s">
        <v>910</v>
      </c>
      <c r="C82" s="430"/>
      <c r="D82" s="431">
        <f>SUM(D77,D80)</f>
        <v>942.85714285714289</v>
      </c>
      <c r="E82" s="431">
        <f t="shared" ref="E82:H82" si="44">SUM(E77,E80)</f>
        <v>839.59183673469397</v>
      </c>
      <c r="F82" s="431">
        <f t="shared" si="44"/>
        <v>867.81341107871731</v>
      </c>
      <c r="G82" s="431">
        <f t="shared" si="44"/>
        <v>410.63306955435246</v>
      </c>
      <c r="H82" s="432">
        <f t="shared" si="44"/>
        <v>-136.63771047777698</v>
      </c>
    </row>
    <row r="83" spans="2:8">
      <c r="B83" s="329"/>
      <c r="C83" s="327"/>
      <c r="D83" s="328"/>
      <c r="E83" s="328"/>
      <c r="F83" s="328"/>
      <c r="G83" s="328"/>
      <c r="H83" s="328"/>
    </row>
    <row r="84" spans="2:8">
      <c r="B84" s="380" t="s">
        <v>1599</v>
      </c>
      <c r="C84" s="381"/>
      <c r="D84" s="382"/>
      <c r="E84" s="381"/>
      <c r="F84" s="382"/>
      <c r="G84" s="381"/>
      <c r="H84" s="383"/>
    </row>
    <row r="85" spans="2:8">
      <c r="B85" s="423" t="s">
        <v>907</v>
      </c>
      <c r="C85" s="424"/>
      <c r="D85" s="384">
        <v>0</v>
      </c>
      <c r="E85" s="384">
        <f>D93</f>
        <v>12840</v>
      </c>
      <c r="F85" s="384">
        <f t="shared" ref="F85:H85" si="45">E93</f>
        <v>9630</v>
      </c>
      <c r="G85" s="384">
        <f t="shared" si="45"/>
        <v>3852</v>
      </c>
      <c r="H85" s="433">
        <f t="shared" si="45"/>
        <v>-3338.3999999999996</v>
      </c>
    </row>
    <row r="86" spans="2:8">
      <c r="B86" s="425" t="s">
        <v>919</v>
      </c>
      <c r="C86" s="327"/>
      <c r="D86" s="328">
        <f>D23</f>
        <v>16050</v>
      </c>
      <c r="E86" s="328">
        <f>E23</f>
        <v>3210</v>
      </c>
      <c r="F86" s="328">
        <f t="shared" ref="F86:H86" si="46">F23</f>
        <v>3210</v>
      </c>
      <c r="G86" s="328">
        <f t="shared" si="46"/>
        <v>3210</v>
      </c>
      <c r="H86" s="407">
        <f t="shared" si="46"/>
        <v>3210</v>
      </c>
    </row>
    <row r="87" spans="2:8">
      <c r="B87" s="425" t="s">
        <v>909</v>
      </c>
      <c r="C87" s="327"/>
      <c r="D87" s="389">
        <v>0</v>
      </c>
      <c r="E87" s="389">
        <v>0</v>
      </c>
      <c r="F87" s="389">
        <v>0</v>
      </c>
      <c r="G87" s="389">
        <v>0</v>
      </c>
      <c r="H87" s="426">
        <v>0</v>
      </c>
    </row>
    <row r="88" spans="2:8">
      <c r="B88" s="425" t="s">
        <v>920</v>
      </c>
      <c r="C88" s="327"/>
      <c r="D88" s="328">
        <f>SUM(D85:D87)</f>
        <v>16050</v>
      </c>
      <c r="E88" s="328">
        <f>SUM(E85:E87)</f>
        <v>16050</v>
      </c>
      <c r="F88" s="328">
        <f t="shared" ref="F88:H88" si="47">SUM(F85:F87)</f>
        <v>12840</v>
      </c>
      <c r="G88" s="328">
        <f t="shared" si="47"/>
        <v>7062</v>
      </c>
      <c r="H88" s="407">
        <f t="shared" si="47"/>
        <v>-128.39999999999964</v>
      </c>
    </row>
    <row r="89" spans="2:8">
      <c r="B89" s="425"/>
      <c r="C89" s="327"/>
      <c r="D89" s="328"/>
      <c r="E89" s="328"/>
      <c r="F89" s="328"/>
      <c r="G89" s="328"/>
      <c r="H89" s="407"/>
    </row>
    <row r="90" spans="2:8" s="111" customFormat="1">
      <c r="B90" s="427" t="s">
        <v>921</v>
      </c>
      <c r="C90" s="421"/>
      <c r="D90" s="422">
        <f>-D88*D53</f>
        <v>-3210</v>
      </c>
      <c r="E90" s="422">
        <f>-E88*E53</f>
        <v>-3210</v>
      </c>
      <c r="F90" s="422">
        <f t="shared" ref="F90:H90" si="48">-F88*F53</f>
        <v>-2568</v>
      </c>
      <c r="G90" s="422">
        <f t="shared" si="48"/>
        <v>-1412.4</v>
      </c>
      <c r="H90" s="428">
        <f t="shared" si="48"/>
        <v>25.679999999999929</v>
      </c>
    </row>
    <row r="91" spans="2:8">
      <c r="B91" s="425" t="s">
        <v>922</v>
      </c>
      <c r="C91" s="327"/>
      <c r="D91" s="414">
        <f>C91+D90</f>
        <v>-3210</v>
      </c>
      <c r="E91" s="414">
        <f>D91+E90</f>
        <v>-6420</v>
      </c>
      <c r="F91" s="414">
        <f t="shared" ref="F91:H91" si="49">E91+F90</f>
        <v>-8988</v>
      </c>
      <c r="G91" s="414">
        <f t="shared" si="49"/>
        <v>-10400.4</v>
      </c>
      <c r="H91" s="415">
        <f t="shared" si="49"/>
        <v>-10374.719999999999</v>
      </c>
    </row>
    <row r="92" spans="2:8">
      <c r="B92" s="425"/>
      <c r="C92" s="327"/>
      <c r="D92" s="414"/>
      <c r="E92" s="414"/>
      <c r="F92" s="414"/>
      <c r="G92" s="414"/>
      <c r="H92" s="415"/>
    </row>
    <row r="93" spans="2:8">
      <c r="B93" s="429" t="s">
        <v>910</v>
      </c>
      <c r="C93" s="430"/>
      <c r="D93" s="431">
        <f>SUM(D88,D91)</f>
        <v>12840</v>
      </c>
      <c r="E93" s="431">
        <f>SUM(E88,E91)</f>
        <v>9630</v>
      </c>
      <c r="F93" s="431">
        <f t="shared" ref="F93:H93" si="50">SUM(F88,F91)</f>
        <v>3852</v>
      </c>
      <c r="G93" s="431">
        <f t="shared" si="50"/>
        <v>-3338.3999999999996</v>
      </c>
      <c r="H93" s="432">
        <f t="shared" si="50"/>
        <v>-10503.119999999999</v>
      </c>
    </row>
    <row r="94" spans="2:8">
      <c r="B94" s="329"/>
      <c r="C94" s="327"/>
      <c r="D94" s="328"/>
      <c r="E94" s="328"/>
      <c r="F94" s="328"/>
      <c r="G94" s="328"/>
      <c r="H94" s="328"/>
    </row>
    <row r="95" spans="2:8">
      <c r="B95" s="380" t="s">
        <v>1600</v>
      </c>
      <c r="C95" s="381"/>
      <c r="D95" s="382"/>
      <c r="E95" s="381"/>
      <c r="F95" s="382"/>
      <c r="G95" s="381"/>
      <c r="H95" s="383"/>
    </row>
    <row r="96" spans="2:8">
      <c r="B96" s="423" t="s">
        <v>907</v>
      </c>
      <c r="C96" s="424"/>
      <c r="D96" s="384">
        <v>0</v>
      </c>
      <c r="E96" s="384">
        <f>D104</f>
        <v>1000</v>
      </c>
      <c r="F96" s="384">
        <f t="shared" ref="F96:H96" si="51">E104</f>
        <v>750</v>
      </c>
      <c r="G96" s="384">
        <f t="shared" si="51"/>
        <v>300</v>
      </c>
      <c r="H96" s="433">
        <f t="shared" si="51"/>
        <v>-260</v>
      </c>
    </row>
    <row r="97" spans="2:8">
      <c r="B97" s="425" t="s">
        <v>919</v>
      </c>
      <c r="C97" s="327"/>
      <c r="D97" s="328">
        <f>D24</f>
        <v>1250</v>
      </c>
      <c r="E97" s="328">
        <f>E24</f>
        <v>250</v>
      </c>
      <c r="F97" s="328">
        <f t="shared" ref="F97:H97" si="52">F24</f>
        <v>250</v>
      </c>
      <c r="G97" s="328">
        <f t="shared" si="52"/>
        <v>250</v>
      </c>
      <c r="H97" s="407">
        <f t="shared" si="52"/>
        <v>250</v>
      </c>
    </row>
    <row r="98" spans="2:8">
      <c r="B98" s="425" t="s">
        <v>909</v>
      </c>
      <c r="C98" s="327"/>
      <c r="D98" s="389">
        <v>0</v>
      </c>
      <c r="E98" s="389">
        <v>0</v>
      </c>
      <c r="F98" s="389">
        <v>0</v>
      </c>
      <c r="G98" s="389">
        <v>0</v>
      </c>
      <c r="H98" s="426">
        <v>0</v>
      </c>
    </row>
    <row r="99" spans="2:8">
      <c r="B99" s="425" t="s">
        <v>920</v>
      </c>
      <c r="C99" s="327"/>
      <c r="D99" s="328">
        <f>SUM(D96:D98)</f>
        <v>1250</v>
      </c>
      <c r="E99" s="328">
        <f>SUM(E96:E98)</f>
        <v>1250</v>
      </c>
      <c r="F99" s="328">
        <f t="shared" ref="F99:H99" si="53">SUM(F96:F98)</f>
        <v>1000</v>
      </c>
      <c r="G99" s="328">
        <f t="shared" si="53"/>
        <v>550</v>
      </c>
      <c r="H99" s="407">
        <f t="shared" si="53"/>
        <v>-10</v>
      </c>
    </row>
    <row r="100" spans="2:8">
      <c r="B100" s="425"/>
      <c r="C100" s="327"/>
      <c r="D100" s="328"/>
      <c r="E100" s="328"/>
      <c r="F100" s="328"/>
      <c r="G100" s="328"/>
      <c r="H100" s="407"/>
    </row>
    <row r="101" spans="2:8" s="111" customFormat="1">
      <c r="B101" s="427" t="s">
        <v>921</v>
      </c>
      <c r="C101" s="421"/>
      <c r="D101" s="422">
        <f>-D99*D54</f>
        <v>-250</v>
      </c>
      <c r="E101" s="422">
        <f>-E99*E54</f>
        <v>-250</v>
      </c>
      <c r="F101" s="422">
        <f t="shared" ref="F101:H101" si="54">-F99*F54</f>
        <v>-200</v>
      </c>
      <c r="G101" s="422">
        <f t="shared" si="54"/>
        <v>-110</v>
      </c>
      <c r="H101" s="428">
        <f t="shared" si="54"/>
        <v>2</v>
      </c>
    </row>
    <row r="102" spans="2:8">
      <c r="B102" s="425" t="s">
        <v>922</v>
      </c>
      <c r="C102" s="327"/>
      <c r="D102" s="414">
        <f>C102+D101</f>
        <v>-250</v>
      </c>
      <c r="E102" s="414">
        <f>D102+E101</f>
        <v>-500</v>
      </c>
      <c r="F102" s="414">
        <f t="shared" ref="F102:H102" si="55">E102+F101</f>
        <v>-700</v>
      </c>
      <c r="G102" s="414">
        <f t="shared" si="55"/>
        <v>-810</v>
      </c>
      <c r="H102" s="415">
        <f t="shared" si="55"/>
        <v>-808</v>
      </c>
    </row>
    <row r="103" spans="2:8">
      <c r="B103" s="425"/>
      <c r="C103" s="327"/>
      <c r="D103" s="414"/>
      <c r="E103" s="414"/>
      <c r="F103" s="414"/>
      <c r="G103" s="414"/>
      <c r="H103" s="415"/>
    </row>
    <row r="104" spans="2:8">
      <c r="B104" s="429" t="s">
        <v>910</v>
      </c>
      <c r="C104" s="430"/>
      <c r="D104" s="431">
        <f>SUM(D99,D102)</f>
        <v>1000</v>
      </c>
      <c r="E104" s="431">
        <f>SUM(E99,E102)</f>
        <v>750</v>
      </c>
      <c r="F104" s="431">
        <f t="shared" ref="F104:H104" si="56">SUM(F99,F102)</f>
        <v>300</v>
      </c>
      <c r="G104" s="431">
        <f t="shared" si="56"/>
        <v>-260</v>
      </c>
      <c r="H104" s="432">
        <f t="shared" si="56"/>
        <v>-818</v>
      </c>
    </row>
    <row r="105" spans="2:8">
      <c r="B105" s="329"/>
      <c r="C105" s="327"/>
      <c r="D105" s="328"/>
      <c r="E105" s="328"/>
      <c r="F105" s="328"/>
      <c r="G105" s="328"/>
      <c r="H105" s="328"/>
    </row>
    <row r="106" spans="2:8">
      <c r="B106" s="380" t="s">
        <v>911</v>
      </c>
      <c r="C106" s="381"/>
      <c r="D106" s="382"/>
      <c r="E106" s="381"/>
      <c r="F106" s="382"/>
      <c r="G106" s="381"/>
      <c r="H106" s="383"/>
    </row>
    <row r="107" spans="2:8">
      <c r="B107" s="423" t="s">
        <v>907</v>
      </c>
      <c r="C107" s="424"/>
      <c r="D107" s="384">
        <v>0</v>
      </c>
      <c r="E107" s="384">
        <f>D110</f>
        <v>59730</v>
      </c>
      <c r="F107" s="384">
        <f t="shared" ref="F107:H107" si="57">E110</f>
        <v>71676</v>
      </c>
      <c r="G107" s="384">
        <f t="shared" si="57"/>
        <v>95568</v>
      </c>
      <c r="H107" s="433">
        <f t="shared" si="57"/>
        <v>107514</v>
      </c>
    </row>
    <row r="108" spans="2:8">
      <c r="B108" s="425" t="s">
        <v>919</v>
      </c>
      <c r="C108" s="327"/>
      <c r="D108" s="328">
        <f>D25</f>
        <v>59730</v>
      </c>
      <c r="E108" s="328">
        <f>E25</f>
        <v>11946</v>
      </c>
      <c r="F108" s="328">
        <f>F25</f>
        <v>23892</v>
      </c>
      <c r="G108" s="328">
        <f>G25</f>
        <v>11946</v>
      </c>
      <c r="H108" s="407">
        <f>H25</f>
        <v>11946</v>
      </c>
    </row>
    <row r="109" spans="2:8">
      <c r="B109" s="425" t="s">
        <v>909</v>
      </c>
      <c r="C109" s="327"/>
      <c r="D109" s="389">
        <v>0</v>
      </c>
      <c r="E109" s="389">
        <v>0</v>
      </c>
      <c r="F109" s="389">
        <v>0</v>
      </c>
      <c r="G109" s="389">
        <v>0</v>
      </c>
      <c r="H109" s="426">
        <v>0</v>
      </c>
    </row>
    <row r="110" spans="2:8">
      <c r="B110" s="425" t="s">
        <v>920</v>
      </c>
      <c r="C110" s="327"/>
      <c r="D110" s="328">
        <f>D107+D108+D109</f>
        <v>59730</v>
      </c>
      <c r="E110" s="328">
        <f t="shared" ref="E110:H110" si="58">E107+E108+E109</f>
        <v>71676</v>
      </c>
      <c r="F110" s="328">
        <f t="shared" si="58"/>
        <v>95568</v>
      </c>
      <c r="G110" s="328">
        <f t="shared" si="58"/>
        <v>107514</v>
      </c>
      <c r="H110" s="407">
        <f t="shared" si="58"/>
        <v>119460</v>
      </c>
    </row>
    <row r="111" spans="2:8">
      <c r="B111" s="425"/>
      <c r="C111" s="327"/>
      <c r="D111" s="328"/>
      <c r="E111" s="328"/>
      <c r="F111" s="328"/>
      <c r="G111" s="328"/>
      <c r="H111" s="407"/>
    </row>
    <row r="112" spans="2:8" s="111" customFormat="1">
      <c r="B112" s="427" t="s">
        <v>921</v>
      </c>
      <c r="C112" s="421"/>
      <c r="D112" s="422">
        <f>-D110*D55</f>
        <v>-11946</v>
      </c>
      <c r="E112" s="422">
        <f>-E110*E55</f>
        <v>-14335.2</v>
      </c>
      <c r="F112" s="422">
        <f>-F110*F55</f>
        <v>-19113.600000000002</v>
      </c>
      <c r="G112" s="422">
        <f>-G110*G55</f>
        <v>-21502.800000000003</v>
      </c>
      <c r="H112" s="428">
        <f>-H110*H55</f>
        <v>-23892</v>
      </c>
    </row>
    <row r="113" spans="2:8">
      <c r="B113" s="425" t="s">
        <v>922</v>
      </c>
      <c r="C113" s="327"/>
      <c r="D113" s="414">
        <f>D112</f>
        <v>-11946</v>
      </c>
      <c r="E113" s="414">
        <f>D113+E112</f>
        <v>-26281.200000000001</v>
      </c>
      <c r="F113" s="414">
        <f t="shared" ref="F113:H113" si="59">E113+F112</f>
        <v>-45394.8</v>
      </c>
      <c r="G113" s="414">
        <f t="shared" si="59"/>
        <v>-66897.600000000006</v>
      </c>
      <c r="H113" s="415">
        <f t="shared" si="59"/>
        <v>-90789.6</v>
      </c>
    </row>
    <row r="114" spans="2:8">
      <c r="B114" s="425"/>
      <c r="C114" s="327"/>
      <c r="D114" s="414"/>
      <c r="E114" s="414"/>
      <c r="F114" s="414"/>
      <c r="G114" s="414"/>
      <c r="H114" s="415"/>
    </row>
    <row r="115" spans="2:8">
      <c r="B115" s="429" t="s">
        <v>910</v>
      </c>
      <c r="C115" s="430"/>
      <c r="D115" s="431">
        <f>D110+D113</f>
        <v>47784</v>
      </c>
      <c r="E115" s="431">
        <f t="shared" ref="E115:H115" si="60">E110+E113</f>
        <v>45394.8</v>
      </c>
      <c r="F115" s="431">
        <f t="shared" si="60"/>
        <v>50173.2</v>
      </c>
      <c r="G115" s="431">
        <f t="shared" si="60"/>
        <v>40616.399999999994</v>
      </c>
      <c r="H115" s="432">
        <f t="shared" si="60"/>
        <v>28670.399999999994</v>
      </c>
    </row>
    <row r="116" spans="2:8">
      <c r="B116" s="329"/>
      <c r="C116" s="327"/>
      <c r="D116" s="328"/>
      <c r="E116" s="328"/>
      <c r="F116" s="328"/>
      <c r="G116" s="328"/>
      <c r="H116" s="328"/>
    </row>
    <row r="117" spans="2:8">
      <c r="B117" s="380" t="s">
        <v>912</v>
      </c>
      <c r="C117" s="381"/>
      <c r="D117" s="382"/>
      <c r="E117" s="381"/>
      <c r="F117" s="382"/>
      <c r="G117" s="381"/>
      <c r="H117" s="383"/>
    </row>
    <row r="118" spans="2:8">
      <c r="B118" s="423" t="s">
        <v>907</v>
      </c>
      <c r="C118" s="424"/>
      <c r="D118" s="384">
        <v>0</v>
      </c>
      <c r="E118" s="384">
        <f ca="1">D121</f>
        <v>4013363</v>
      </c>
      <c r="F118" s="384">
        <f t="shared" ref="F118:H118" ca="1" si="61">E121</f>
        <v>4816035.5999999996</v>
      </c>
      <c r="G118" s="384">
        <f t="shared" ca="1" si="61"/>
        <v>6421380.7999999998</v>
      </c>
      <c r="H118" s="433">
        <f t="shared" ca="1" si="61"/>
        <v>7224053.4000000004</v>
      </c>
    </row>
    <row r="119" spans="2:8">
      <c r="B119" s="425" t="s">
        <v>908</v>
      </c>
      <c r="C119" s="327"/>
      <c r="D119" s="328">
        <f ca="1">D26</f>
        <v>4013363</v>
      </c>
      <c r="E119" s="328">
        <f t="shared" ref="E119:H119" ca="1" si="62">E26</f>
        <v>802672.60000000009</v>
      </c>
      <c r="F119" s="328">
        <f t="shared" ca="1" si="62"/>
        <v>1605345.2000000002</v>
      </c>
      <c r="G119" s="328">
        <f t="shared" ca="1" si="62"/>
        <v>802672.60000000009</v>
      </c>
      <c r="H119" s="407">
        <f t="shared" ca="1" si="62"/>
        <v>802672.60000000009</v>
      </c>
    </row>
    <row r="120" spans="2:8">
      <c r="B120" s="425" t="s">
        <v>909</v>
      </c>
      <c r="C120" s="327"/>
      <c r="D120" s="389">
        <v>0</v>
      </c>
      <c r="E120" s="389">
        <v>0</v>
      </c>
      <c r="F120" s="389">
        <v>0</v>
      </c>
      <c r="G120" s="389">
        <v>0</v>
      </c>
      <c r="H120" s="435">
        <v>0</v>
      </c>
    </row>
    <row r="121" spans="2:8">
      <c r="B121" s="425" t="s">
        <v>920</v>
      </c>
      <c r="C121" s="327"/>
      <c r="D121" s="328">
        <f ca="1">SUM(D118:D120)</f>
        <v>4013363</v>
      </c>
      <c r="E121" s="328">
        <f t="shared" ref="E121:H121" ca="1" si="63">SUM(E118:E120)</f>
        <v>4816035.5999999996</v>
      </c>
      <c r="F121" s="328">
        <f t="shared" ca="1" si="63"/>
        <v>6421380.7999999998</v>
      </c>
      <c r="G121" s="328">
        <f t="shared" ca="1" si="63"/>
        <v>7224053.4000000004</v>
      </c>
      <c r="H121" s="407">
        <f t="shared" ca="1" si="63"/>
        <v>8026726</v>
      </c>
    </row>
    <row r="122" spans="2:8">
      <c r="B122" s="425"/>
      <c r="C122" s="327"/>
      <c r="D122" s="328"/>
      <c r="E122" s="328"/>
      <c r="F122" s="328"/>
      <c r="G122" s="328"/>
      <c r="H122" s="416"/>
    </row>
    <row r="123" spans="2:8" s="111" customFormat="1">
      <c r="B123" s="427" t="s">
        <v>921</v>
      </c>
      <c r="C123" s="421"/>
      <c r="D123" s="422">
        <f ca="1">-D121*D56</f>
        <v>-802672.60000000009</v>
      </c>
      <c r="E123" s="422">
        <f ca="1">-E121*E56</f>
        <v>-963207.12</v>
      </c>
      <c r="F123" s="422">
        <f ca="1">-F121*F56</f>
        <v>-1284276.1600000001</v>
      </c>
      <c r="G123" s="422">
        <f ca="1">-G121*G56</f>
        <v>-1444810.6800000002</v>
      </c>
      <c r="H123" s="428">
        <f ca="1">-H121*H56</f>
        <v>-1605345.2000000002</v>
      </c>
    </row>
    <row r="124" spans="2:8">
      <c r="B124" s="425" t="s">
        <v>922</v>
      </c>
      <c r="C124" s="327"/>
      <c r="D124" s="414">
        <f ca="1">D123</f>
        <v>-802672.60000000009</v>
      </c>
      <c r="E124" s="414">
        <f ca="1">D124+E123</f>
        <v>-1765879.7200000002</v>
      </c>
      <c r="F124" s="414">
        <f t="shared" ref="F124" ca="1" si="64">E124+F123</f>
        <v>-3050155.8800000004</v>
      </c>
      <c r="G124" s="414">
        <f t="shared" ref="G124" ca="1" si="65">F124+G123</f>
        <v>-4494966.5600000005</v>
      </c>
      <c r="H124" s="415">
        <f t="shared" ref="H124" ca="1" si="66">G124+H123</f>
        <v>-6100311.7600000007</v>
      </c>
    </row>
    <row r="125" spans="2:8">
      <c r="B125" s="429" t="s">
        <v>910</v>
      </c>
      <c r="C125" s="430"/>
      <c r="D125" s="431">
        <f ca="1">D121+D124</f>
        <v>3210690.4</v>
      </c>
      <c r="E125" s="431">
        <f t="shared" ref="E125:H125" ca="1" si="67">E121+E124</f>
        <v>3050155.8799999994</v>
      </c>
      <c r="F125" s="431">
        <f t="shared" ca="1" si="67"/>
        <v>3371224.9199999995</v>
      </c>
      <c r="G125" s="431">
        <f t="shared" ca="1" si="67"/>
        <v>2729086.84</v>
      </c>
      <c r="H125" s="432">
        <f t="shared" ca="1" si="67"/>
        <v>1926414.2399999993</v>
      </c>
    </row>
    <row r="126" spans="2:8">
      <c r="B126" s="330"/>
      <c r="C126" s="327"/>
      <c r="D126" s="328"/>
      <c r="E126" s="328"/>
      <c r="F126" s="328"/>
      <c r="G126" s="328"/>
      <c r="H126" s="329"/>
    </row>
    <row r="127" spans="2:8">
      <c r="B127" s="380" t="s">
        <v>913</v>
      </c>
      <c r="C127" s="381"/>
      <c r="D127" s="382"/>
      <c r="E127" s="381"/>
      <c r="F127" s="382"/>
      <c r="G127" s="381"/>
      <c r="H127" s="383"/>
    </row>
    <row r="128" spans="2:8">
      <c r="B128" s="423" t="s">
        <v>907</v>
      </c>
      <c r="C128" s="424"/>
      <c r="D128" s="384">
        <v>0</v>
      </c>
      <c r="E128" s="384">
        <f>D131</f>
        <v>2713602</v>
      </c>
      <c r="F128" s="384">
        <f t="shared" ref="F128:H128" si="68">E131</f>
        <v>3256322.4</v>
      </c>
      <c r="G128" s="384">
        <f t="shared" si="68"/>
        <v>4341763.2</v>
      </c>
      <c r="H128" s="433">
        <f t="shared" si="68"/>
        <v>4884483.6000000006</v>
      </c>
    </row>
    <row r="129" spans="2:8">
      <c r="B129" s="425" t="s">
        <v>908</v>
      </c>
      <c r="C129" s="327"/>
      <c r="D129" s="328">
        <f>D27</f>
        <v>2713602</v>
      </c>
      <c r="E129" s="328">
        <f t="shared" ref="E129:H129" si="69">E27</f>
        <v>542720.4</v>
      </c>
      <c r="F129" s="328">
        <f t="shared" si="69"/>
        <v>1085440.8</v>
      </c>
      <c r="G129" s="328">
        <f t="shared" si="69"/>
        <v>542720.4</v>
      </c>
      <c r="H129" s="407">
        <f t="shared" si="69"/>
        <v>542720.4</v>
      </c>
    </row>
    <row r="130" spans="2:8">
      <c r="B130" s="425" t="s">
        <v>909</v>
      </c>
      <c r="C130" s="327"/>
      <c r="D130" s="389">
        <v>0</v>
      </c>
      <c r="E130" s="389">
        <v>0</v>
      </c>
      <c r="F130" s="389">
        <v>0</v>
      </c>
      <c r="G130" s="389">
        <v>0</v>
      </c>
      <c r="H130" s="435">
        <v>0</v>
      </c>
    </row>
    <row r="131" spans="2:8">
      <c r="B131" s="425" t="s">
        <v>920</v>
      </c>
      <c r="C131" s="327"/>
      <c r="D131" s="328">
        <f>SUM(D128:D130)</f>
        <v>2713602</v>
      </c>
      <c r="E131" s="328">
        <f t="shared" ref="E131" si="70">SUM(E128:E130)</f>
        <v>3256322.4</v>
      </c>
      <c r="F131" s="328">
        <f t="shared" ref="F131" si="71">SUM(F128:F130)</f>
        <v>4341763.2</v>
      </c>
      <c r="G131" s="328">
        <f t="shared" ref="G131" si="72">SUM(G128:G130)</f>
        <v>4884483.6000000006</v>
      </c>
      <c r="H131" s="407">
        <f t="shared" ref="H131" si="73">SUM(H128:H130)</f>
        <v>5427204.0000000009</v>
      </c>
    </row>
    <row r="132" spans="2:8">
      <c r="B132" s="425"/>
      <c r="C132" s="327"/>
      <c r="D132" s="328"/>
      <c r="E132" s="328"/>
      <c r="F132" s="328"/>
      <c r="G132" s="328"/>
      <c r="H132" s="416"/>
    </row>
    <row r="133" spans="2:8" s="111" customFormat="1">
      <c r="B133" s="427" t="s">
        <v>921</v>
      </c>
      <c r="C133" s="421"/>
      <c r="D133" s="422">
        <f>-D131*D57</f>
        <v>-542720.4</v>
      </c>
      <c r="E133" s="422">
        <f>-E131*E57</f>
        <v>-651264.48</v>
      </c>
      <c r="F133" s="422">
        <f>-F131*F57</f>
        <v>-868352.64000000013</v>
      </c>
      <c r="G133" s="422">
        <f>-G131*G57</f>
        <v>-976896.7200000002</v>
      </c>
      <c r="H133" s="428">
        <f>-H131*H57</f>
        <v>-1085440.8000000003</v>
      </c>
    </row>
    <row r="134" spans="2:8">
      <c r="B134" s="425" t="s">
        <v>922</v>
      </c>
      <c r="C134" s="327"/>
      <c r="D134" s="414">
        <f>D133</f>
        <v>-542720.4</v>
      </c>
      <c r="E134" s="414">
        <f>D134+E133</f>
        <v>-1193984.8799999999</v>
      </c>
      <c r="F134" s="414">
        <f t="shared" ref="F134:H134" si="74">E134+F133</f>
        <v>-2062337.52</v>
      </c>
      <c r="G134" s="414">
        <f t="shared" si="74"/>
        <v>-3039234.24</v>
      </c>
      <c r="H134" s="415">
        <f t="shared" si="74"/>
        <v>-4124675.0400000005</v>
      </c>
    </row>
    <row r="135" spans="2:8">
      <c r="B135" s="429" t="s">
        <v>910</v>
      </c>
      <c r="C135" s="430"/>
      <c r="D135" s="431">
        <f>D131+D134</f>
        <v>2170881.6</v>
      </c>
      <c r="E135" s="431">
        <f t="shared" ref="E135:H135" si="75">E131+E134</f>
        <v>2062337.52</v>
      </c>
      <c r="F135" s="431">
        <f t="shared" si="75"/>
        <v>2279425.6800000002</v>
      </c>
      <c r="G135" s="431">
        <f t="shared" si="75"/>
        <v>1845249.3600000003</v>
      </c>
      <c r="H135" s="432">
        <f t="shared" si="75"/>
        <v>1302528.9600000004</v>
      </c>
    </row>
    <row r="136" spans="2:8">
      <c r="B136" s="329"/>
      <c r="C136" s="398"/>
      <c r="D136" s="403"/>
      <c r="E136" s="404"/>
      <c r="F136" s="405"/>
      <c r="G136" s="405"/>
      <c r="H136" s="398"/>
    </row>
    <row r="137" spans="2:8">
      <c r="B137" s="380" t="s">
        <v>914</v>
      </c>
      <c r="C137" s="381"/>
      <c r="D137" s="382"/>
      <c r="E137" s="381"/>
      <c r="F137" s="382"/>
      <c r="G137" s="381"/>
      <c r="H137" s="383"/>
    </row>
    <row r="138" spans="2:8">
      <c r="B138" s="423" t="s">
        <v>907</v>
      </c>
      <c r="C138" s="424"/>
      <c r="D138" s="384">
        <v>0</v>
      </c>
      <c r="E138" s="384">
        <f>D141</f>
        <v>103087</v>
      </c>
      <c r="F138" s="384">
        <f t="shared" ref="F138:H138" si="76">E141</f>
        <v>123704.4</v>
      </c>
      <c r="G138" s="384">
        <f t="shared" si="76"/>
        <v>144321.79999999999</v>
      </c>
      <c r="H138" s="433">
        <f t="shared" si="76"/>
        <v>164939.19999999998</v>
      </c>
    </row>
    <row r="139" spans="2:8">
      <c r="B139" s="425" t="s">
        <v>908</v>
      </c>
      <c r="C139" s="327"/>
      <c r="D139" s="328">
        <f>D28</f>
        <v>103087</v>
      </c>
      <c r="E139" s="328">
        <f t="shared" ref="E139:H139" si="77">E28</f>
        <v>20617.400000000001</v>
      </c>
      <c r="F139" s="328">
        <f t="shared" si="77"/>
        <v>20617.400000000001</v>
      </c>
      <c r="G139" s="328">
        <f t="shared" si="77"/>
        <v>20617.400000000001</v>
      </c>
      <c r="H139" s="407">
        <f t="shared" si="77"/>
        <v>20617.400000000001</v>
      </c>
    </row>
    <row r="140" spans="2:8">
      <c r="B140" s="425" t="s">
        <v>909</v>
      </c>
      <c r="C140" s="327"/>
      <c r="D140" s="389">
        <v>0</v>
      </c>
      <c r="E140" s="389">
        <v>0</v>
      </c>
      <c r="F140" s="389">
        <v>0</v>
      </c>
      <c r="G140" s="389">
        <v>0</v>
      </c>
      <c r="H140" s="435">
        <v>0</v>
      </c>
    </row>
    <row r="141" spans="2:8">
      <c r="B141" s="425" t="s">
        <v>920</v>
      </c>
      <c r="C141" s="327"/>
      <c r="D141" s="328">
        <f>SUM(D138:D140)</f>
        <v>103087</v>
      </c>
      <c r="E141" s="328">
        <f t="shared" ref="E141" si="78">SUM(E138:E140)</f>
        <v>123704.4</v>
      </c>
      <c r="F141" s="328">
        <f t="shared" ref="F141" si="79">SUM(F138:F140)</f>
        <v>144321.79999999999</v>
      </c>
      <c r="G141" s="328">
        <f t="shared" ref="G141" si="80">SUM(G138:G140)</f>
        <v>164939.19999999998</v>
      </c>
      <c r="H141" s="407">
        <f t="shared" ref="H141" si="81">SUM(H138:H140)</f>
        <v>185556.59999999998</v>
      </c>
    </row>
    <row r="142" spans="2:8">
      <c r="B142" s="425"/>
      <c r="C142" s="327"/>
      <c r="D142" s="328"/>
      <c r="E142" s="328"/>
      <c r="F142" s="328"/>
      <c r="G142" s="328"/>
      <c r="H142" s="416"/>
    </row>
    <row r="143" spans="2:8" s="111" customFormat="1">
      <c r="B143" s="427" t="s">
        <v>921</v>
      </c>
      <c r="C143" s="421"/>
      <c r="D143" s="422">
        <f>-D141*D58</f>
        <v>-34362.333333333328</v>
      </c>
      <c r="E143" s="422">
        <f>-E141*E58</f>
        <v>-41234.799999999996</v>
      </c>
      <c r="F143" s="422">
        <f>-F141*F58</f>
        <v>-48107.266666666663</v>
      </c>
      <c r="G143" s="422">
        <f>-G141*G58</f>
        <v>-54979.733333333323</v>
      </c>
      <c r="H143" s="428">
        <f>-H141*H58</f>
        <v>-61852.19999999999</v>
      </c>
    </row>
    <row r="144" spans="2:8">
      <c r="B144" s="425" t="s">
        <v>922</v>
      </c>
      <c r="C144" s="327"/>
      <c r="D144" s="414">
        <f>D143</f>
        <v>-34362.333333333328</v>
      </c>
      <c r="E144" s="414">
        <f>E143+D144</f>
        <v>-75597.133333333331</v>
      </c>
      <c r="F144" s="414">
        <f t="shared" ref="F144:H144" si="82">F143+E144</f>
        <v>-123704.4</v>
      </c>
      <c r="G144" s="414">
        <f t="shared" si="82"/>
        <v>-178684.1333333333</v>
      </c>
      <c r="H144" s="415">
        <f t="shared" si="82"/>
        <v>-240536.33333333328</v>
      </c>
    </row>
    <row r="145" spans="2:8">
      <c r="B145" s="429" t="s">
        <v>910</v>
      </c>
      <c r="C145" s="430"/>
      <c r="D145" s="431">
        <f>D141+D144</f>
        <v>68724.666666666672</v>
      </c>
      <c r="E145" s="431">
        <f t="shared" ref="E145:H145" si="83">E141+E144</f>
        <v>48107.266666666663</v>
      </c>
      <c r="F145" s="431">
        <f t="shared" si="83"/>
        <v>20617.399999999994</v>
      </c>
      <c r="G145" s="431">
        <f t="shared" si="83"/>
        <v>-13744.93333333332</v>
      </c>
      <c r="H145" s="432">
        <f t="shared" si="83"/>
        <v>-54979.733333333308</v>
      </c>
    </row>
    <row r="146" spans="2:8">
      <c r="B146" s="329"/>
      <c r="C146" s="398"/>
      <c r="D146" s="403"/>
      <c r="E146" s="404"/>
      <c r="F146" s="405"/>
      <c r="G146" s="405"/>
      <c r="H146" s="398"/>
    </row>
    <row r="147" spans="2:8">
      <c r="B147" s="380" t="s">
        <v>904</v>
      </c>
      <c r="C147" s="381"/>
      <c r="D147" s="382"/>
      <c r="E147" s="381"/>
      <c r="F147" s="382"/>
      <c r="G147" s="381"/>
      <c r="H147" s="383"/>
    </row>
    <row r="148" spans="2:8">
      <c r="B148" s="423" t="s">
        <v>907</v>
      </c>
      <c r="C148" s="424"/>
      <c r="D148" s="384">
        <v>0</v>
      </c>
      <c r="E148" s="384">
        <f ca="1">D151</f>
        <v>21520</v>
      </c>
      <c r="F148" s="384">
        <f t="shared" ref="F148:H148" ca="1" si="84">E151</f>
        <v>25824</v>
      </c>
      <c r="G148" s="384">
        <f t="shared" ca="1" si="84"/>
        <v>30128</v>
      </c>
      <c r="H148" s="433">
        <f t="shared" ca="1" si="84"/>
        <v>34432</v>
      </c>
    </row>
    <row r="149" spans="2:8">
      <c r="B149" s="425" t="s">
        <v>908</v>
      </c>
      <c r="C149" s="327"/>
      <c r="D149" s="328">
        <f ca="1">D29</f>
        <v>21520</v>
      </c>
      <c r="E149" s="328">
        <f t="shared" ref="E149:H149" ca="1" si="85">E29</f>
        <v>4304</v>
      </c>
      <c r="F149" s="328">
        <f t="shared" ca="1" si="85"/>
        <v>4304</v>
      </c>
      <c r="G149" s="328">
        <f t="shared" ca="1" si="85"/>
        <v>4304</v>
      </c>
      <c r="H149" s="407">
        <f t="shared" ca="1" si="85"/>
        <v>4304</v>
      </c>
    </row>
    <row r="150" spans="2:8">
      <c r="B150" s="425" t="s">
        <v>909</v>
      </c>
      <c r="C150" s="327"/>
      <c r="D150" s="389">
        <v>0</v>
      </c>
      <c r="E150" s="389">
        <v>0</v>
      </c>
      <c r="F150" s="389">
        <v>0</v>
      </c>
      <c r="G150" s="389">
        <v>0</v>
      </c>
      <c r="H150" s="435">
        <v>0</v>
      </c>
    </row>
    <row r="151" spans="2:8">
      <c r="B151" s="425" t="s">
        <v>920</v>
      </c>
      <c r="C151" s="327"/>
      <c r="D151" s="328">
        <f ca="1">SUM(D148:D150)</f>
        <v>21520</v>
      </c>
      <c r="E151" s="328">
        <f t="shared" ref="E151" ca="1" si="86">SUM(E148:E150)</f>
        <v>25824</v>
      </c>
      <c r="F151" s="328">
        <f t="shared" ref="F151" ca="1" si="87">SUM(F148:F150)</f>
        <v>30128</v>
      </c>
      <c r="G151" s="328">
        <f t="shared" ref="G151" ca="1" si="88">SUM(G148:G150)</f>
        <v>34432</v>
      </c>
      <c r="H151" s="407">
        <f t="shared" ref="H151" ca="1" si="89">SUM(H148:H150)</f>
        <v>38736</v>
      </c>
    </row>
    <row r="152" spans="2:8">
      <c r="B152" s="425"/>
      <c r="C152" s="327"/>
      <c r="D152" s="328"/>
      <c r="E152" s="328"/>
      <c r="F152" s="328"/>
      <c r="G152" s="328"/>
      <c r="H152" s="416"/>
    </row>
    <row r="153" spans="2:8" s="111" customFormat="1">
      <c r="B153" s="427" t="s">
        <v>921</v>
      </c>
      <c r="C153" s="421"/>
      <c r="D153" s="422">
        <f ca="1">-D151*D59</f>
        <v>-4304</v>
      </c>
      <c r="E153" s="422">
        <f ca="1">-E151*E59</f>
        <v>-5164.8</v>
      </c>
      <c r="F153" s="422">
        <f ca="1">-F151*F59</f>
        <v>-6025.6</v>
      </c>
      <c r="G153" s="422">
        <f ca="1">-G151*G59</f>
        <v>-6886.4000000000005</v>
      </c>
      <c r="H153" s="428">
        <f ca="1">-H151*H59</f>
        <v>-7747.2000000000007</v>
      </c>
    </row>
    <row r="154" spans="2:8">
      <c r="B154" s="425" t="s">
        <v>922</v>
      </c>
      <c r="C154" s="327"/>
      <c r="D154" s="414">
        <f ca="1">D153</f>
        <v>-4304</v>
      </c>
      <c r="E154" s="414">
        <f ca="1">E153+D154</f>
        <v>-9468.7999999999993</v>
      </c>
      <c r="F154" s="414">
        <f t="shared" ref="F154" ca="1" si="90">F153+E154</f>
        <v>-15494.4</v>
      </c>
      <c r="G154" s="414">
        <f t="shared" ref="G154" ca="1" si="91">G153+F154</f>
        <v>-22380.799999999999</v>
      </c>
      <c r="H154" s="415">
        <f t="shared" ref="H154" ca="1" si="92">H153+G154</f>
        <v>-30128</v>
      </c>
    </row>
    <row r="155" spans="2:8">
      <c r="B155" s="429" t="s">
        <v>910</v>
      </c>
      <c r="C155" s="430"/>
      <c r="D155" s="431">
        <f ca="1">D151+D154</f>
        <v>17216</v>
      </c>
      <c r="E155" s="431">
        <f t="shared" ref="E155:H155" ca="1" si="93">E151+E154</f>
        <v>16355.2</v>
      </c>
      <c r="F155" s="431">
        <f t="shared" ca="1" si="93"/>
        <v>14633.6</v>
      </c>
      <c r="G155" s="431">
        <f t="shared" ca="1" si="93"/>
        <v>12051.2</v>
      </c>
      <c r="H155" s="432">
        <f t="shared" ca="1" si="93"/>
        <v>8608</v>
      </c>
    </row>
    <row r="156" spans="2:8">
      <c r="B156" s="329"/>
      <c r="C156" s="398"/>
      <c r="D156" s="403"/>
      <c r="E156" s="404"/>
      <c r="F156" s="405"/>
      <c r="G156" s="405"/>
      <c r="H156" s="398"/>
    </row>
    <row r="157" spans="2:8">
      <c r="B157" s="380" t="s">
        <v>915</v>
      </c>
      <c r="C157" s="381"/>
      <c r="D157" s="382"/>
      <c r="E157" s="381"/>
      <c r="F157" s="382"/>
      <c r="G157" s="381"/>
      <c r="H157" s="383"/>
    </row>
    <row r="158" spans="2:8">
      <c r="B158" s="423" t="s">
        <v>907</v>
      </c>
      <c r="C158" s="424"/>
      <c r="D158" s="384">
        <v>0</v>
      </c>
      <c r="E158" s="384">
        <f ca="1">D161</f>
        <v>164000</v>
      </c>
      <c r="F158" s="384">
        <f t="shared" ref="F158:H158" ca="1" si="94">E161</f>
        <v>196800</v>
      </c>
      <c r="G158" s="384">
        <f t="shared" ca="1" si="94"/>
        <v>229600</v>
      </c>
      <c r="H158" s="433">
        <f t="shared" ca="1" si="94"/>
        <v>262400</v>
      </c>
    </row>
    <row r="159" spans="2:8">
      <c r="B159" s="425" t="s">
        <v>908</v>
      </c>
      <c r="C159" s="327"/>
      <c r="D159" s="328">
        <f ca="1">D30</f>
        <v>164000</v>
      </c>
      <c r="E159" s="328">
        <f t="shared" ref="E159:H159" ca="1" si="95">E30</f>
        <v>32800</v>
      </c>
      <c r="F159" s="328">
        <f t="shared" ca="1" si="95"/>
        <v>32800</v>
      </c>
      <c r="G159" s="328">
        <f t="shared" ca="1" si="95"/>
        <v>32800</v>
      </c>
      <c r="H159" s="407">
        <f t="shared" ca="1" si="95"/>
        <v>32800</v>
      </c>
    </row>
    <row r="160" spans="2:8">
      <c r="B160" s="425" t="s">
        <v>909</v>
      </c>
      <c r="C160" s="327"/>
      <c r="D160" s="389">
        <v>0</v>
      </c>
      <c r="E160" s="389">
        <v>0</v>
      </c>
      <c r="F160" s="389">
        <v>0</v>
      </c>
      <c r="G160" s="389">
        <v>0</v>
      </c>
      <c r="H160" s="435">
        <v>0</v>
      </c>
    </row>
    <row r="161" spans="2:8">
      <c r="B161" s="425" t="s">
        <v>920</v>
      </c>
      <c r="C161" s="327"/>
      <c r="D161" s="328">
        <f ca="1">SUM(D158:D160)</f>
        <v>164000</v>
      </c>
      <c r="E161" s="328">
        <f t="shared" ref="E161" ca="1" si="96">SUM(E158:E160)</f>
        <v>196800</v>
      </c>
      <c r="F161" s="328">
        <f t="shared" ref="F161" ca="1" si="97">SUM(F158:F160)</f>
        <v>229600</v>
      </c>
      <c r="G161" s="328">
        <f t="shared" ref="G161" ca="1" si="98">SUM(G158:G160)</f>
        <v>262400</v>
      </c>
      <c r="H161" s="407">
        <f t="shared" ref="H161" ca="1" si="99">SUM(H158:H160)</f>
        <v>295200</v>
      </c>
    </row>
    <row r="162" spans="2:8">
      <c r="B162" s="425"/>
      <c r="C162" s="327"/>
      <c r="D162" s="328"/>
      <c r="E162" s="328"/>
      <c r="F162" s="328"/>
      <c r="G162" s="328"/>
      <c r="H162" s="416"/>
    </row>
    <row r="163" spans="2:8" s="111" customFormat="1">
      <c r="B163" s="427" t="s">
        <v>921</v>
      </c>
      <c r="C163" s="421"/>
      <c r="D163" s="422">
        <f ca="1">-D161*D60</f>
        <v>-27333.333333333332</v>
      </c>
      <c r="E163" s="422">
        <f ca="1">-E161*E60</f>
        <v>-32800</v>
      </c>
      <c r="F163" s="422">
        <f ca="1">-F161*F60</f>
        <v>-38266.666666666664</v>
      </c>
      <c r="G163" s="422">
        <f ca="1">-G161*G60</f>
        <v>-43733.333333333328</v>
      </c>
      <c r="H163" s="428">
        <f ca="1">-H161*H60</f>
        <v>-49200</v>
      </c>
    </row>
    <row r="164" spans="2:8">
      <c r="B164" s="425" t="s">
        <v>922</v>
      </c>
      <c r="C164" s="327"/>
      <c r="D164" s="414">
        <f ca="1">D163</f>
        <v>-27333.333333333332</v>
      </c>
      <c r="E164" s="414">
        <f ca="1">E163+D164</f>
        <v>-60133.333333333328</v>
      </c>
      <c r="F164" s="414">
        <f t="shared" ref="F164" ca="1" si="100">F163+E164</f>
        <v>-98400</v>
      </c>
      <c r="G164" s="414">
        <f t="shared" ref="G164" ca="1" si="101">G163+F164</f>
        <v>-142133.33333333331</v>
      </c>
      <c r="H164" s="415">
        <f t="shared" ref="H164" ca="1" si="102">H163+G164</f>
        <v>-191333.33333333331</v>
      </c>
    </row>
    <row r="165" spans="2:8">
      <c r="B165" s="429" t="s">
        <v>910</v>
      </c>
      <c r="C165" s="430"/>
      <c r="D165" s="431">
        <f ca="1">D161+D164</f>
        <v>136666.66666666666</v>
      </c>
      <c r="E165" s="431">
        <f t="shared" ref="E165" ca="1" si="103">E161+E164</f>
        <v>136666.66666666669</v>
      </c>
      <c r="F165" s="431">
        <f t="shared" ref="F165" ca="1" si="104">F161+F164</f>
        <v>131200</v>
      </c>
      <c r="G165" s="431">
        <f t="shared" ref="G165" ca="1" si="105">G161+G164</f>
        <v>120266.66666666669</v>
      </c>
      <c r="H165" s="432">
        <f t="shared" ref="H165" ca="1" si="106">H161+H164</f>
        <v>103866.66666666669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0070C0"/>
  </sheetPr>
  <dimension ref="A1:AQ510"/>
  <sheetViews>
    <sheetView zoomScale="85" zoomScaleNormal="85" workbookViewId="0">
      <selection activeCell="E31" sqref="E31"/>
    </sheetView>
  </sheetViews>
  <sheetFormatPr defaultRowHeight="12.75"/>
  <cols>
    <col min="1" max="1" width="4.5703125" style="25" customWidth="1"/>
    <col min="2" max="2" width="24.42578125" style="453" hidden="1" customWidth="1"/>
    <col min="3" max="3" width="63.7109375" style="333" bestFit="1" customWidth="1"/>
    <col min="4" max="4" width="9.140625" style="333" hidden="1" customWidth="1"/>
    <col min="5" max="5" width="12.85546875" style="333" customWidth="1"/>
    <col min="6" max="10" width="11.140625" style="333" customWidth="1"/>
    <col min="11" max="13" width="9.85546875" style="333" customWidth="1"/>
    <col min="14" max="14" width="11.28515625" style="333" bestFit="1" customWidth="1"/>
    <col min="15" max="15" width="9.85546875" style="333" customWidth="1"/>
    <col min="16" max="16" width="11.28515625" style="333" bestFit="1" customWidth="1"/>
    <col min="17" max="18" width="9.85546875" style="333" customWidth="1"/>
    <col min="19" max="19" width="11.28515625" style="333" bestFit="1" customWidth="1"/>
    <col min="20" max="21" width="9.28515625" style="25" bestFit="1" customWidth="1"/>
    <col min="22" max="22" width="12.28515625" style="333" bestFit="1" customWidth="1"/>
    <col min="23" max="24" width="9.28515625" style="333" bestFit="1" customWidth="1"/>
    <col min="25" max="25" width="11.28515625" style="333" bestFit="1" customWidth="1"/>
    <col min="26" max="27" width="9.28515625" style="333" bestFit="1" customWidth="1"/>
    <col min="28" max="28" width="11.28515625" style="333" bestFit="1" customWidth="1"/>
    <col min="29" max="29" width="12.7109375" style="600" bestFit="1" customWidth="1"/>
    <col min="30" max="30" width="9.140625" style="600"/>
    <col min="31" max="16384" width="9.140625" style="333"/>
  </cols>
  <sheetData>
    <row r="1" spans="1:42">
      <c r="A1" s="331"/>
      <c r="C1" s="25"/>
      <c r="D1" s="25"/>
      <c r="E1" s="25"/>
      <c r="F1" s="25"/>
      <c r="G1" s="216"/>
      <c r="H1" s="332"/>
      <c r="I1" s="332"/>
      <c r="J1" s="25"/>
      <c r="K1" s="25"/>
      <c r="L1" s="25"/>
      <c r="M1" s="25"/>
      <c r="N1" s="25"/>
      <c r="O1" s="25"/>
      <c r="P1" s="25"/>
      <c r="Q1" s="25"/>
      <c r="R1" s="25"/>
      <c r="S1" s="25"/>
      <c r="V1" s="25"/>
      <c r="W1" s="25"/>
      <c r="X1" s="25"/>
      <c r="Y1" s="25"/>
      <c r="Z1" s="25"/>
      <c r="AA1" s="25"/>
      <c r="AB1" s="25"/>
      <c r="AC1" s="595"/>
      <c r="AD1" s="59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</row>
    <row r="2" spans="1:42" ht="19.5">
      <c r="A2" s="331"/>
      <c r="C2" s="326" t="s">
        <v>1667</v>
      </c>
      <c r="D2" s="24"/>
      <c r="E2" s="24"/>
      <c r="F2" s="24"/>
      <c r="G2" s="217"/>
      <c r="H2" s="332"/>
      <c r="I2" s="332"/>
      <c r="J2" s="2"/>
      <c r="K2" s="25"/>
      <c r="L2" s="25"/>
      <c r="M2" s="25"/>
      <c r="N2" s="25"/>
      <c r="O2" s="25"/>
      <c r="P2" s="25"/>
      <c r="Q2" s="25"/>
      <c r="R2" s="25"/>
      <c r="S2" s="25"/>
      <c r="V2" s="25"/>
      <c r="W2" s="25"/>
      <c r="X2" s="25"/>
      <c r="Y2" s="25"/>
      <c r="Z2" s="25"/>
      <c r="AA2" s="25"/>
      <c r="AB2" s="25"/>
      <c r="AC2" s="595"/>
      <c r="AD2" s="59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</row>
    <row r="3" spans="1:42">
      <c r="A3" s="331"/>
      <c r="C3" s="24" t="s">
        <v>103</v>
      </c>
      <c r="D3" s="24"/>
      <c r="E3" s="24"/>
      <c r="F3" s="24"/>
      <c r="G3" s="217"/>
      <c r="H3" s="332"/>
      <c r="I3" s="332"/>
      <c r="J3" s="2"/>
      <c r="K3" s="25"/>
      <c r="L3" s="25"/>
      <c r="M3" s="25"/>
      <c r="N3" s="25"/>
      <c r="O3" s="25"/>
      <c r="P3" s="25"/>
      <c r="Q3" s="25"/>
      <c r="R3" s="25"/>
      <c r="S3" s="25"/>
      <c r="V3" s="25"/>
      <c r="W3" s="25"/>
      <c r="X3" s="25"/>
      <c r="Y3" s="25"/>
      <c r="Z3" s="25"/>
      <c r="AA3" s="25"/>
      <c r="AB3" s="25"/>
      <c r="AC3" s="595"/>
      <c r="AD3" s="59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>
      <c r="A4" s="331"/>
      <c r="C4" s="25"/>
      <c r="D4" s="25"/>
      <c r="E4" s="25"/>
      <c r="F4" s="25"/>
      <c r="G4" s="216"/>
      <c r="H4" s="332"/>
      <c r="I4" s="332"/>
      <c r="J4" s="25"/>
      <c r="K4" s="25"/>
      <c r="L4" s="25"/>
      <c r="M4" s="25"/>
      <c r="N4" s="25"/>
      <c r="O4" s="25"/>
      <c r="P4" s="25"/>
      <c r="Q4" s="25"/>
      <c r="R4" s="25"/>
      <c r="S4" s="25"/>
      <c r="V4" s="25"/>
      <c r="W4" s="25"/>
      <c r="X4" s="25"/>
      <c r="Y4" s="25"/>
      <c r="Z4" s="25"/>
      <c r="AA4" s="25"/>
      <c r="AB4" s="25"/>
      <c r="AC4" s="595"/>
      <c r="AD4" s="59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</row>
    <row r="5" spans="1:42">
      <c r="A5" s="331"/>
      <c r="C5" s="38" t="s">
        <v>903</v>
      </c>
      <c r="D5" s="39"/>
      <c r="E5" s="39"/>
      <c r="F5" s="39"/>
      <c r="G5" s="334"/>
      <c r="H5" s="335"/>
      <c r="I5" s="335"/>
      <c r="J5" s="336"/>
      <c r="K5" s="336"/>
      <c r="L5" s="336"/>
      <c r="M5" s="336"/>
      <c r="N5" s="336"/>
      <c r="O5" s="336"/>
      <c r="P5" s="336"/>
      <c r="Q5" s="336"/>
      <c r="R5" s="336"/>
      <c r="S5" s="336"/>
      <c r="T5" s="336"/>
      <c r="U5" s="336"/>
      <c r="V5" s="25"/>
      <c r="W5" s="25"/>
      <c r="X5" s="25"/>
      <c r="Y5" s="25"/>
      <c r="Z5" s="25"/>
      <c r="AA5" s="25"/>
      <c r="AB5" s="25"/>
      <c r="AC5" s="595"/>
      <c r="AD5" s="59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</row>
    <row r="6" spans="1:42">
      <c r="A6" s="331"/>
      <c r="C6" s="42"/>
      <c r="D6" s="43"/>
      <c r="E6" s="43"/>
      <c r="F6" s="354" t="s">
        <v>114</v>
      </c>
      <c r="G6" s="337" t="s">
        <v>236</v>
      </c>
      <c r="H6" s="332"/>
      <c r="I6" s="332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25"/>
      <c r="W6" s="25"/>
      <c r="X6" s="25"/>
      <c r="Y6" s="25"/>
      <c r="Z6" s="25"/>
      <c r="AA6" s="25"/>
      <c r="AB6" s="25"/>
      <c r="AC6" s="595"/>
      <c r="AD6" s="59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</row>
    <row r="7" spans="1:42">
      <c r="A7" s="331"/>
      <c r="C7" s="587" t="s">
        <v>1648</v>
      </c>
      <c r="D7" s="455"/>
      <c r="E7" s="617">
        <f ca="1">SUM($E$36:$E$38,$E$52,$E$58,$E$96,$E$146,$E$165,$E$183,$E$195,$E$202)</f>
        <v>4007356</v>
      </c>
      <c r="F7" s="611">
        <f ca="1">E7/$E$9</f>
        <v>0.55321933453364036</v>
      </c>
      <c r="G7" s="808" t="s">
        <v>1647</v>
      </c>
      <c r="H7" s="332"/>
      <c r="I7" s="332"/>
      <c r="J7" s="338"/>
      <c r="K7" s="338"/>
      <c r="L7" s="338"/>
      <c r="M7" s="338"/>
      <c r="N7" s="338"/>
      <c r="O7" s="338"/>
      <c r="P7" s="338"/>
      <c r="Q7" s="338"/>
      <c r="R7" s="338"/>
      <c r="S7" s="338"/>
      <c r="T7" s="338"/>
      <c r="U7" s="338"/>
      <c r="V7" s="25"/>
      <c r="W7" s="25"/>
      <c r="X7" s="25"/>
      <c r="Y7" s="25"/>
      <c r="Z7" s="25"/>
      <c r="AA7" s="25"/>
      <c r="AB7" s="25"/>
      <c r="AC7" s="595"/>
      <c r="AD7" s="59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</row>
    <row r="8" spans="1:42">
      <c r="A8" s="331"/>
      <c r="C8" s="339" t="s">
        <v>1605</v>
      </c>
      <c r="D8" s="48"/>
      <c r="E8" s="340">
        <f ca="1">SUM($N$52,$N$58,$N$96,$N$146,$N$165,$N$183,$N$195,$N$202)</f>
        <v>3236346</v>
      </c>
      <c r="F8" s="612">
        <f ca="1">E8/$E$9</f>
        <v>0.44678066546635958</v>
      </c>
      <c r="G8" s="341"/>
      <c r="H8" s="332"/>
      <c r="I8" s="332"/>
      <c r="J8" s="338"/>
      <c r="K8" s="338"/>
      <c r="L8" s="338"/>
      <c r="M8" s="338"/>
      <c r="N8" s="338"/>
      <c r="O8" s="338"/>
      <c r="P8" s="338"/>
      <c r="Q8" s="338"/>
      <c r="R8" s="338"/>
      <c r="S8" s="338"/>
      <c r="T8" s="338"/>
      <c r="U8" s="338"/>
      <c r="V8" s="25"/>
      <c r="W8" s="25"/>
      <c r="X8" s="25"/>
      <c r="Y8" s="25"/>
      <c r="Z8" s="25"/>
      <c r="AA8" s="25"/>
      <c r="AB8" s="25"/>
      <c r="AC8" s="595"/>
      <c r="AD8" s="59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</row>
    <row r="9" spans="1:42" ht="12" customHeight="1">
      <c r="A9" s="331"/>
      <c r="C9" s="342" t="s">
        <v>234</v>
      </c>
      <c r="D9" s="343"/>
      <c r="E9" s="344">
        <f ca="1">SUM(E7:E8)</f>
        <v>7243702</v>
      </c>
      <c r="F9" s="613">
        <f ca="1">SUM(F7:F8)</f>
        <v>1</v>
      </c>
      <c r="G9" s="608"/>
      <c r="H9" s="332"/>
      <c r="I9" s="332"/>
      <c r="J9" s="338"/>
      <c r="K9" s="338"/>
      <c r="L9" s="338"/>
      <c r="M9" s="338"/>
      <c r="N9" s="338"/>
      <c r="O9" s="338"/>
      <c r="P9" s="338"/>
      <c r="Q9" s="338"/>
      <c r="R9" s="338"/>
      <c r="S9" s="338"/>
      <c r="T9" s="338"/>
      <c r="U9" s="338"/>
      <c r="V9" s="25"/>
      <c r="W9" s="25"/>
      <c r="X9" s="25"/>
      <c r="Y9" s="25"/>
      <c r="Z9" s="25"/>
      <c r="AA9" s="25"/>
      <c r="AB9" s="25"/>
      <c r="AC9" s="595"/>
      <c r="AD9" s="59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</row>
    <row r="10" spans="1:42" ht="12" customHeight="1">
      <c r="A10" s="331"/>
      <c r="C10" s="339" t="str">
        <f>C36</f>
        <v>Fixture &amp; Fitting out</v>
      </c>
      <c r="D10" s="314"/>
      <c r="E10" s="340">
        <f>SUM(E36,N36)</f>
        <v>150000</v>
      </c>
      <c r="F10" s="614">
        <f ca="1">E10/$E$21</f>
        <v>2.0707643688268787E-2</v>
      </c>
      <c r="G10" s="607"/>
      <c r="H10" s="332"/>
      <c r="I10" s="332"/>
      <c r="J10" s="338"/>
      <c r="K10" s="338"/>
      <c r="L10" s="338"/>
      <c r="M10" s="338"/>
      <c r="N10" s="338"/>
      <c r="O10" s="338"/>
      <c r="P10" s="338"/>
      <c r="Q10" s="338"/>
      <c r="R10" s="338"/>
      <c r="S10" s="338"/>
      <c r="T10" s="338"/>
      <c r="U10" s="338"/>
      <c r="V10" s="25"/>
      <c r="W10" s="25"/>
      <c r="X10" s="25"/>
      <c r="Y10" s="25"/>
      <c r="Z10" s="25"/>
      <c r="AA10" s="25"/>
      <c r="AB10" s="25"/>
      <c r="AC10" s="595"/>
      <c r="AD10" s="59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</row>
    <row r="11" spans="1:42" ht="12" customHeight="1">
      <c r="A11" s="331"/>
      <c r="C11" s="339" t="s">
        <v>1601</v>
      </c>
      <c r="D11" s="314"/>
      <c r="E11" s="340">
        <f>SUM(E37:E38,N37:N38)</f>
        <v>1100</v>
      </c>
      <c r="F11" s="615">
        <f t="shared" ref="F11:F19" ca="1" si="0">E11/$E$21</f>
        <v>1.5185605371397111E-4</v>
      </c>
      <c r="G11" s="607"/>
      <c r="H11" s="332"/>
      <c r="I11" s="332"/>
      <c r="J11" s="338"/>
      <c r="K11" s="338"/>
      <c r="L11" s="338"/>
      <c r="M11" s="338"/>
      <c r="N11" s="338"/>
      <c r="O11" s="338"/>
      <c r="P11" s="338"/>
      <c r="Q11" s="338"/>
      <c r="R11" s="338"/>
      <c r="S11" s="338"/>
      <c r="T11" s="338"/>
      <c r="U11" s="338"/>
      <c r="V11" s="25"/>
      <c r="W11" s="25"/>
      <c r="X11" s="25"/>
      <c r="Y11" s="25"/>
      <c r="Z11" s="25"/>
      <c r="AA11" s="25"/>
      <c r="AB11" s="25"/>
      <c r="AC11" s="595"/>
      <c r="AD11" s="59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</row>
    <row r="12" spans="1:42">
      <c r="A12" s="331"/>
      <c r="C12" s="339" t="s">
        <v>1580</v>
      </c>
      <c r="D12" s="48"/>
      <c r="E12" s="340">
        <f>SUM(N52,E52)</f>
        <v>16050</v>
      </c>
      <c r="F12" s="614">
        <f t="shared" ca="1" si="0"/>
        <v>2.2157178746447606E-3</v>
      </c>
      <c r="G12" s="341"/>
      <c r="H12" s="332"/>
      <c r="I12" s="332"/>
      <c r="J12" s="338"/>
      <c r="K12" s="338"/>
      <c r="L12" s="338"/>
      <c r="M12" s="338"/>
      <c r="N12" s="338"/>
      <c r="O12" s="338"/>
      <c r="P12" s="338"/>
      <c r="Q12" s="338"/>
      <c r="R12" s="338"/>
      <c r="S12" s="338"/>
      <c r="T12" s="338"/>
      <c r="U12" s="338"/>
      <c r="V12" s="25"/>
      <c r="W12" s="25"/>
      <c r="X12" s="25"/>
      <c r="Y12" s="25"/>
      <c r="Z12" s="25"/>
      <c r="AA12" s="25"/>
      <c r="AB12" s="25"/>
      <c r="AC12" s="595"/>
      <c r="AD12" s="59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</row>
    <row r="13" spans="1:42">
      <c r="A13" s="331"/>
      <c r="C13" s="339" t="s">
        <v>1581</v>
      </c>
      <c r="D13" s="48"/>
      <c r="E13" s="340">
        <f>SUM(N58,E58)</f>
        <v>1250</v>
      </c>
      <c r="F13" s="614">
        <f t="shared" ca="1" si="0"/>
        <v>1.7256369740223992E-4</v>
      </c>
      <c r="G13" s="341"/>
      <c r="H13" s="332"/>
      <c r="I13" s="332"/>
      <c r="J13" s="338"/>
      <c r="K13" s="338"/>
      <c r="L13" s="338"/>
      <c r="M13" s="338"/>
      <c r="N13" s="338"/>
      <c r="O13" s="338"/>
      <c r="P13" s="338"/>
      <c r="Q13" s="338"/>
      <c r="R13" s="338"/>
      <c r="S13" s="338"/>
      <c r="T13" s="338"/>
      <c r="U13" s="338"/>
      <c r="V13" s="25"/>
      <c r="W13" s="25"/>
      <c r="X13" s="25"/>
      <c r="Y13" s="25"/>
      <c r="Z13" s="25"/>
      <c r="AA13" s="25"/>
      <c r="AB13" s="25"/>
      <c r="AC13" s="595"/>
      <c r="AD13" s="59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</row>
    <row r="14" spans="1:42">
      <c r="A14" s="331"/>
      <c r="C14" s="339" t="s">
        <v>374</v>
      </c>
      <c r="D14" s="48"/>
      <c r="E14" s="340">
        <f>SUM(N96,E96)</f>
        <v>59730</v>
      </c>
      <c r="F14" s="614">
        <f t="shared" ca="1" si="0"/>
        <v>8.245783716668632E-3</v>
      </c>
      <c r="G14" s="341"/>
      <c r="H14" s="332"/>
      <c r="I14" s="332"/>
      <c r="J14" s="25"/>
      <c r="K14" s="25"/>
      <c r="L14" s="25"/>
      <c r="M14" s="25"/>
      <c r="N14" s="25"/>
      <c r="O14" s="338"/>
      <c r="P14" s="25"/>
      <c r="Q14" s="25"/>
      <c r="R14" s="25"/>
      <c r="S14" s="25"/>
      <c r="V14" s="25"/>
      <c r="W14" s="25"/>
      <c r="X14" s="25"/>
      <c r="Y14" s="25"/>
      <c r="Z14" s="25"/>
      <c r="AA14" s="25"/>
      <c r="AB14" s="25"/>
      <c r="AC14" s="595"/>
      <c r="AD14" s="59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</row>
    <row r="15" spans="1:42">
      <c r="A15" s="331"/>
      <c r="C15" s="339" t="s">
        <v>899</v>
      </c>
      <c r="D15" s="48"/>
      <c r="E15" s="340">
        <f ca="1">SUM(N146,E146)</f>
        <v>4013363</v>
      </c>
      <c r="F15" s="614">
        <f t="shared" ca="1" si="0"/>
        <v>0.55404860663787658</v>
      </c>
      <c r="G15" s="341"/>
      <c r="H15" s="332"/>
      <c r="I15" s="332"/>
      <c r="J15" s="25"/>
      <c r="K15" s="25"/>
      <c r="L15" s="25"/>
      <c r="M15" s="25"/>
      <c r="N15" s="25"/>
      <c r="O15" s="25"/>
      <c r="P15" s="25"/>
      <c r="Q15" s="25"/>
      <c r="R15" s="25"/>
      <c r="S15" s="25"/>
      <c r="V15" s="25"/>
      <c r="W15" s="25"/>
      <c r="X15" s="25"/>
      <c r="Y15" s="25"/>
      <c r="Z15" s="25"/>
      <c r="AA15" s="25"/>
      <c r="AB15" s="25"/>
      <c r="AC15" s="595"/>
      <c r="AD15" s="59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</row>
    <row r="16" spans="1:42">
      <c r="A16" s="331"/>
      <c r="C16" s="339" t="s">
        <v>228</v>
      </c>
      <c r="D16" s="48"/>
      <c r="E16" s="340">
        <f>SUM(N165,E165)</f>
        <v>2713602</v>
      </c>
      <c r="F16" s="614">
        <f t="shared" ca="1" si="0"/>
        <v>0.3746153555184904</v>
      </c>
      <c r="G16" s="341"/>
      <c r="H16" s="332"/>
      <c r="I16" s="332"/>
      <c r="J16" s="25"/>
      <c r="K16" s="25"/>
      <c r="L16" s="25"/>
      <c r="M16" s="25"/>
      <c r="N16" s="25"/>
      <c r="O16" s="25"/>
      <c r="P16" s="25"/>
      <c r="Q16" s="25"/>
      <c r="R16" s="25"/>
      <c r="S16" s="25"/>
      <c r="V16" s="25"/>
      <c r="W16" s="25"/>
      <c r="X16" s="25"/>
      <c r="Y16" s="25"/>
      <c r="Z16" s="25"/>
      <c r="AA16" s="25"/>
      <c r="AB16" s="25"/>
      <c r="AC16" s="595"/>
      <c r="AD16" s="59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</row>
    <row r="17" spans="1:43">
      <c r="A17" s="331"/>
      <c r="C17" s="339" t="s">
        <v>902</v>
      </c>
      <c r="D17" s="48"/>
      <c r="E17" s="340">
        <f>SUM(N183,E183)</f>
        <v>103087</v>
      </c>
      <c r="F17" s="614">
        <f t="shared" ca="1" si="0"/>
        <v>1.4231259099283765E-2</v>
      </c>
      <c r="G17" s="341"/>
      <c r="H17" s="332"/>
      <c r="I17" s="332"/>
      <c r="J17" s="25"/>
      <c r="K17" s="25"/>
      <c r="L17" s="25"/>
      <c r="M17" s="25"/>
      <c r="N17" s="25"/>
      <c r="O17" s="25"/>
      <c r="P17" s="25"/>
      <c r="Q17" s="25"/>
      <c r="R17" s="25"/>
      <c r="S17" s="25"/>
      <c r="V17" s="25"/>
      <c r="W17" s="25"/>
      <c r="X17" s="25"/>
      <c r="Y17" s="25"/>
      <c r="Z17" s="25"/>
      <c r="AA17" s="25"/>
      <c r="AB17" s="25"/>
      <c r="AC17" s="595"/>
      <c r="AD17" s="59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</row>
    <row r="18" spans="1:43">
      <c r="A18" s="331"/>
      <c r="C18" s="339" t="s">
        <v>373</v>
      </c>
      <c r="D18" s="48"/>
      <c r="E18" s="340">
        <f ca="1">SUM(N195,E195)</f>
        <v>21520</v>
      </c>
      <c r="F18" s="614">
        <f t="shared" ca="1" si="0"/>
        <v>2.9708566144769624E-3</v>
      </c>
      <c r="G18" s="341"/>
      <c r="H18" s="332"/>
      <c r="I18" s="332"/>
      <c r="J18" s="25"/>
      <c r="K18" s="25"/>
      <c r="L18" s="25"/>
      <c r="M18" s="25"/>
      <c r="N18" s="25"/>
      <c r="O18" s="25"/>
      <c r="P18" s="25"/>
      <c r="Q18" s="25"/>
      <c r="R18" s="25"/>
      <c r="S18" s="25"/>
      <c r="V18" s="25"/>
      <c r="W18" s="25"/>
      <c r="X18" s="25"/>
      <c r="Y18" s="25"/>
      <c r="Z18" s="25"/>
      <c r="AA18" s="25"/>
      <c r="AB18" s="25"/>
      <c r="AC18" s="595"/>
      <c r="AD18" s="59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</row>
    <row r="19" spans="1:43">
      <c r="A19" s="331"/>
      <c r="C19" s="339" t="s">
        <v>657</v>
      </c>
      <c r="D19" s="48"/>
      <c r="E19" s="340">
        <f ca="1">SUM(N371,E371)</f>
        <v>164000</v>
      </c>
      <c r="F19" s="614">
        <f t="shared" ca="1" si="0"/>
        <v>2.2640357099173874E-2</v>
      </c>
      <c r="G19" s="341"/>
      <c r="H19" s="332"/>
      <c r="I19" s="332"/>
      <c r="J19" s="25"/>
      <c r="K19" s="25"/>
      <c r="L19" s="25"/>
      <c r="M19" s="25"/>
      <c r="N19" s="25"/>
      <c r="O19" s="25"/>
      <c r="P19" s="25"/>
      <c r="Q19" s="25"/>
      <c r="R19" s="25"/>
      <c r="S19" s="25"/>
      <c r="V19" s="25"/>
      <c r="W19" s="25"/>
      <c r="X19" s="25"/>
      <c r="Y19" s="25"/>
      <c r="Z19" s="25"/>
      <c r="AA19" s="25"/>
      <c r="AB19" s="25"/>
      <c r="AC19" s="595"/>
      <c r="AD19" s="59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</row>
    <row r="20" spans="1:43">
      <c r="A20" s="331"/>
      <c r="C20" s="339"/>
      <c r="D20" s="48"/>
      <c r="E20" s="340"/>
      <c r="F20" s="614"/>
      <c r="G20" s="341"/>
      <c r="H20" s="332"/>
      <c r="I20" s="332"/>
      <c r="J20" s="25"/>
      <c r="K20" s="25"/>
      <c r="L20" s="25"/>
      <c r="M20" s="25"/>
      <c r="N20" s="25"/>
      <c r="O20" s="25"/>
      <c r="P20" s="25"/>
      <c r="Q20" s="25"/>
      <c r="R20" s="25"/>
      <c r="S20" s="25"/>
      <c r="V20" s="25"/>
      <c r="W20" s="25"/>
      <c r="X20" s="25"/>
      <c r="Y20" s="25"/>
      <c r="Z20" s="25"/>
      <c r="AA20" s="25"/>
      <c r="AB20" s="25"/>
      <c r="AC20" s="595"/>
      <c r="AD20" s="59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</row>
    <row r="21" spans="1:43">
      <c r="A21" s="331"/>
      <c r="C21" s="371" t="s">
        <v>239</v>
      </c>
      <c r="D21" s="496"/>
      <c r="E21" s="570">
        <f ca="1">SUM(E10:E19)</f>
        <v>7243702</v>
      </c>
      <c r="F21" s="616">
        <f ca="1">SUM(F10:F19)</f>
        <v>0.99999999999999989</v>
      </c>
      <c r="G21" s="609">
        <f ca="1">E9-E21</f>
        <v>0</v>
      </c>
      <c r="H21" s="332"/>
      <c r="I21" s="332"/>
      <c r="J21" s="25"/>
      <c r="K21" s="25"/>
      <c r="L21" s="25"/>
      <c r="M21" s="25"/>
      <c r="N21" s="25"/>
      <c r="O21" s="25"/>
      <c r="P21" s="25"/>
      <c r="Q21" s="25"/>
      <c r="R21" s="25"/>
      <c r="S21" s="25"/>
      <c r="V21" s="25"/>
      <c r="W21" s="25"/>
      <c r="X21" s="25"/>
      <c r="Y21" s="25"/>
      <c r="Z21" s="25"/>
      <c r="AA21" s="25"/>
      <c r="AB21" s="25"/>
      <c r="AC21" s="595"/>
      <c r="AD21" s="59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</row>
    <row r="22" spans="1:43">
      <c r="A22" s="331"/>
      <c r="C22" s="343"/>
      <c r="D22" s="343"/>
      <c r="E22" s="344"/>
      <c r="F22" s="345"/>
      <c r="G22" s="571"/>
      <c r="H22" s="332"/>
      <c r="I22" s="332"/>
      <c r="J22" s="25"/>
      <c r="K22" s="25"/>
      <c r="L22" s="25"/>
      <c r="M22" s="25"/>
      <c r="N22" s="25"/>
      <c r="O22" s="25"/>
      <c r="P22" s="25"/>
      <c r="Q22" s="25"/>
      <c r="R22" s="25"/>
      <c r="S22" s="25"/>
      <c r="V22" s="25"/>
      <c r="W22" s="25"/>
      <c r="X22" s="25"/>
      <c r="Y22" s="25"/>
      <c r="Z22" s="25"/>
      <c r="AA22" s="25"/>
      <c r="AB22" s="25"/>
      <c r="AC22" s="595"/>
      <c r="AD22" s="59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</row>
    <row r="23" spans="1:43" customFormat="1" ht="17.25">
      <c r="A23" s="215"/>
      <c r="B23" s="851"/>
      <c r="C23" s="54" t="s">
        <v>1587</v>
      </c>
      <c r="D23" s="55"/>
      <c r="E23" s="55"/>
      <c r="F23" s="55"/>
      <c r="G23" s="586"/>
      <c r="H23" s="280"/>
      <c r="I23" s="280"/>
      <c r="J23" s="280"/>
      <c r="K23" s="20"/>
      <c r="L23" s="20"/>
      <c r="M23" s="20"/>
      <c r="N23" s="244"/>
      <c r="O23" s="240"/>
      <c r="P23" s="241"/>
      <c r="Q23" s="242"/>
      <c r="R23" s="242"/>
      <c r="S23" s="242"/>
      <c r="T23" s="244"/>
      <c r="U23" s="20"/>
      <c r="V23" s="20"/>
      <c r="W23" s="20"/>
      <c r="X23" s="20"/>
      <c r="Y23" s="20"/>
      <c r="Z23" s="20"/>
      <c r="AA23" s="20"/>
      <c r="AB23" s="20"/>
      <c r="AC23" s="596"/>
      <c r="AD23" s="596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</row>
    <row r="24" spans="1:43" customFormat="1" ht="16.5">
      <c r="A24" s="215"/>
      <c r="B24" s="851"/>
      <c r="C24" s="42"/>
      <c r="D24" s="43"/>
      <c r="E24" s="354" t="s">
        <v>71</v>
      </c>
      <c r="F24" s="354" t="s">
        <v>101</v>
      </c>
      <c r="G24" s="337" t="s">
        <v>236</v>
      </c>
      <c r="H24" s="251"/>
      <c r="I24" s="251"/>
      <c r="J24" s="248"/>
      <c r="K24" s="20"/>
      <c r="L24" s="20"/>
      <c r="M24" s="20"/>
      <c r="N24" s="244"/>
      <c r="O24" s="240"/>
      <c r="P24" s="241"/>
      <c r="Q24" s="242"/>
      <c r="R24" s="239"/>
      <c r="S24" s="239"/>
      <c r="T24" s="244"/>
      <c r="U24" s="20"/>
      <c r="V24" s="20"/>
      <c r="W24" s="20"/>
      <c r="X24" s="20"/>
      <c r="Y24" s="20"/>
      <c r="Z24" s="20"/>
      <c r="AA24" s="20"/>
      <c r="AB24" s="20"/>
      <c r="AC24" s="596"/>
      <c r="AD24" s="596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</row>
    <row r="25" spans="1:43" s="20" customFormat="1" ht="16.5">
      <c r="A25" s="215"/>
      <c r="B25" s="851"/>
      <c r="C25" s="587"/>
      <c r="D25" s="455"/>
      <c r="E25" s="516"/>
      <c r="F25" s="587"/>
      <c r="G25" s="588"/>
      <c r="H25" s="171"/>
      <c r="I25" s="155"/>
      <c r="J25" s="182"/>
      <c r="N25" s="244"/>
      <c r="O25" s="240"/>
      <c r="P25" s="241"/>
      <c r="Q25" s="242"/>
      <c r="R25" s="242"/>
      <c r="S25" s="242"/>
      <c r="T25" s="244"/>
      <c r="AC25" s="596"/>
      <c r="AD25" s="596"/>
    </row>
    <row r="26" spans="1:43" s="20" customFormat="1" ht="16.5">
      <c r="A26" s="215"/>
      <c r="B26" s="851"/>
      <c r="C26" s="339" t="s">
        <v>1594</v>
      </c>
      <c r="D26" s="48"/>
      <c r="E26" s="589">
        <v>0.4</v>
      </c>
      <c r="F26" s="339" t="s">
        <v>1591</v>
      </c>
      <c r="G26" s="590"/>
      <c r="H26" s="171"/>
      <c r="I26" s="155"/>
      <c r="J26" s="182"/>
      <c r="N26" s="244"/>
      <c r="O26" s="240"/>
      <c r="P26" s="241"/>
      <c r="Q26" s="242"/>
      <c r="R26" s="242"/>
      <c r="S26" s="242"/>
      <c r="T26" s="244"/>
      <c r="AC26" s="596"/>
      <c r="AD26" s="596"/>
    </row>
    <row r="27" spans="1:43" s="20" customFormat="1" ht="16.5">
      <c r="A27" s="215"/>
      <c r="B27" s="851"/>
      <c r="C27" s="339" t="s">
        <v>1595</v>
      </c>
      <c r="D27" s="48"/>
      <c r="E27" s="560">
        <v>50</v>
      </c>
      <c r="F27" s="339" t="s">
        <v>1593</v>
      </c>
      <c r="G27" s="590"/>
      <c r="H27" s="171"/>
      <c r="I27" s="155"/>
      <c r="J27" s="182"/>
      <c r="N27" s="244"/>
      <c r="O27" s="240"/>
      <c r="P27" s="241"/>
      <c r="Q27" s="242"/>
      <c r="R27" s="242"/>
      <c r="S27" s="242"/>
      <c r="T27" s="244"/>
      <c r="AC27" s="596"/>
      <c r="AD27" s="596"/>
    </row>
    <row r="28" spans="1:43" customFormat="1" ht="16.5">
      <c r="A28" s="215"/>
      <c r="B28" s="851"/>
      <c r="C28" s="339" t="s">
        <v>1588</v>
      </c>
      <c r="D28" s="48"/>
      <c r="E28" s="560">
        <v>50</v>
      </c>
      <c r="F28" s="339" t="s">
        <v>1589</v>
      </c>
      <c r="G28" s="591"/>
      <c r="H28" s="171"/>
      <c r="I28" s="155"/>
      <c r="J28" s="182"/>
      <c r="K28" s="20"/>
      <c r="L28" s="20"/>
      <c r="M28" s="20"/>
      <c r="N28" s="244"/>
      <c r="O28" s="240"/>
      <c r="P28" s="241"/>
      <c r="Q28" s="242"/>
      <c r="R28" s="243"/>
      <c r="S28" s="239"/>
      <c r="T28" s="244"/>
      <c r="U28" s="20"/>
      <c r="V28" s="20"/>
      <c r="W28" s="20"/>
      <c r="X28" s="20"/>
      <c r="Y28" s="20"/>
      <c r="Z28" s="20"/>
      <c r="AA28" s="20"/>
      <c r="AB28" s="20"/>
      <c r="AC28" s="596"/>
      <c r="AD28" s="596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</row>
    <row r="29" spans="1:43" customFormat="1" ht="16.5">
      <c r="A29" s="215"/>
      <c r="B29" s="851"/>
      <c r="C29" s="339" t="s">
        <v>1590</v>
      </c>
      <c r="D29" s="48"/>
      <c r="E29" s="589">
        <v>0.3</v>
      </c>
      <c r="F29" s="339" t="s">
        <v>1591</v>
      </c>
      <c r="G29" s="591"/>
      <c r="H29" s="171"/>
      <c r="I29" s="155"/>
      <c r="J29" s="182"/>
      <c r="K29" s="20"/>
      <c r="L29" s="20"/>
      <c r="M29" s="20"/>
      <c r="N29" s="244"/>
      <c r="O29" s="240"/>
      <c r="P29" s="241"/>
      <c r="Q29" s="242"/>
      <c r="R29" s="243"/>
      <c r="S29" s="239"/>
      <c r="T29" s="244"/>
      <c r="U29" s="20"/>
      <c r="V29" s="20"/>
      <c r="W29" s="20"/>
      <c r="X29" s="20"/>
      <c r="Y29" s="20"/>
      <c r="Z29" s="20"/>
      <c r="AA29" s="20"/>
      <c r="AB29" s="20"/>
      <c r="AC29" s="596"/>
      <c r="AD29" s="596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</row>
    <row r="30" spans="1:43" customFormat="1" ht="16.5">
      <c r="A30" s="215"/>
      <c r="B30" s="851"/>
      <c r="C30" s="339" t="s">
        <v>1592</v>
      </c>
      <c r="D30" s="48"/>
      <c r="E30" s="560">
        <v>20</v>
      </c>
      <c r="F30" s="339" t="s">
        <v>1593</v>
      </c>
      <c r="G30" s="591"/>
      <c r="H30" s="171"/>
      <c r="I30" s="155"/>
      <c r="J30" s="182"/>
      <c r="K30" s="20"/>
      <c r="L30" s="20"/>
      <c r="M30" s="20"/>
      <c r="N30" s="244"/>
      <c r="O30" s="240"/>
      <c r="P30" s="241"/>
      <c r="Q30" s="242"/>
      <c r="R30" s="243"/>
      <c r="S30" s="239"/>
      <c r="T30" s="244"/>
      <c r="U30" s="20"/>
      <c r="V30" s="20"/>
      <c r="W30" s="20"/>
      <c r="X30" s="20"/>
      <c r="Y30" s="20"/>
      <c r="Z30" s="20"/>
      <c r="AA30" s="20"/>
      <c r="AB30" s="20"/>
      <c r="AC30" s="596"/>
      <c r="AD30" s="596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</row>
    <row r="31" spans="1:43" s="20" customFormat="1" ht="15">
      <c r="A31" s="215"/>
      <c r="B31" s="851"/>
      <c r="C31" s="592"/>
      <c r="D31" s="61"/>
      <c r="E31" s="71"/>
      <c r="F31" s="592"/>
      <c r="G31" s="593"/>
      <c r="H31" s="171"/>
      <c r="I31" s="250"/>
      <c r="J31" s="185"/>
      <c r="AC31" s="596"/>
      <c r="AD31" s="596"/>
    </row>
    <row r="32" spans="1:43" ht="15">
      <c r="A32" s="331"/>
      <c r="C32" s="26"/>
      <c r="D32" s="26"/>
      <c r="E32" s="26"/>
      <c r="F32" s="26"/>
      <c r="G32" s="347"/>
      <c r="H32" s="332"/>
      <c r="I32" s="332"/>
      <c r="J32" s="25"/>
      <c r="K32" s="25"/>
      <c r="L32" s="25"/>
      <c r="M32" s="348"/>
      <c r="N32" s="349"/>
      <c r="O32" s="350"/>
      <c r="P32" s="351"/>
      <c r="Q32" s="352"/>
      <c r="R32" s="352"/>
      <c r="S32" s="348"/>
      <c r="V32" s="25"/>
      <c r="W32" s="25"/>
      <c r="X32" s="25"/>
      <c r="Y32" s="25"/>
      <c r="Z32" s="25"/>
      <c r="AA32" s="25"/>
      <c r="AB32" s="25"/>
      <c r="AC32" s="595"/>
      <c r="AD32" s="59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</row>
    <row r="33" spans="1:42" s="844" customFormat="1" ht="18.75">
      <c r="A33" s="839"/>
      <c r="B33" s="852"/>
      <c r="C33" s="840" t="s">
        <v>1662</v>
      </c>
      <c r="D33" s="841"/>
      <c r="E33" s="905" t="s">
        <v>1574</v>
      </c>
      <c r="F33" s="905"/>
      <c r="G33" s="905"/>
      <c r="H33" s="905"/>
      <c r="I33" s="905"/>
      <c r="J33" s="905"/>
      <c r="K33" s="905"/>
      <c r="L33" s="905"/>
      <c r="M33" s="906"/>
      <c r="N33" s="907" t="s">
        <v>1579</v>
      </c>
      <c r="O33" s="908"/>
      <c r="P33" s="908"/>
      <c r="Q33" s="908"/>
      <c r="R33" s="908"/>
      <c r="S33" s="908"/>
      <c r="T33" s="908"/>
      <c r="U33" s="908"/>
      <c r="V33" s="908"/>
      <c r="W33" s="908"/>
      <c r="X33" s="908"/>
      <c r="Y33" s="908"/>
      <c r="Z33" s="908"/>
      <c r="AA33" s="908"/>
      <c r="AB33" s="909"/>
      <c r="AC33" s="842"/>
      <c r="AD33" s="842"/>
      <c r="AE33" s="843"/>
      <c r="AF33" s="843"/>
      <c r="AG33" s="843"/>
      <c r="AH33" s="843"/>
      <c r="AI33" s="843"/>
      <c r="AJ33" s="843"/>
      <c r="AK33" s="843"/>
      <c r="AL33" s="843"/>
      <c r="AM33" s="843"/>
      <c r="AN33" s="843"/>
      <c r="AO33" s="843"/>
      <c r="AP33" s="843"/>
    </row>
    <row r="34" spans="1:42">
      <c r="A34" s="331"/>
      <c r="C34" s="42"/>
      <c r="D34" s="314"/>
      <c r="E34" s="43" t="s">
        <v>234</v>
      </c>
      <c r="F34" s="354" t="s">
        <v>163</v>
      </c>
      <c r="G34" s="355" t="s">
        <v>370</v>
      </c>
      <c r="H34" s="67">
        <v>41275</v>
      </c>
      <c r="I34" s="67">
        <v>41306</v>
      </c>
      <c r="J34" s="67">
        <v>41334</v>
      </c>
      <c r="K34" s="67">
        <v>41365</v>
      </c>
      <c r="L34" s="67">
        <v>41395</v>
      </c>
      <c r="M34" s="68">
        <v>41426</v>
      </c>
      <c r="N34" s="43" t="s">
        <v>234</v>
      </c>
      <c r="O34" s="354" t="s">
        <v>163</v>
      </c>
      <c r="P34" s="355" t="s">
        <v>370</v>
      </c>
      <c r="Q34" s="67">
        <v>41456</v>
      </c>
      <c r="R34" s="67">
        <v>41487</v>
      </c>
      <c r="S34" s="67">
        <v>41518</v>
      </c>
      <c r="T34" s="67">
        <v>41548</v>
      </c>
      <c r="U34" s="67">
        <v>41579</v>
      </c>
      <c r="V34" s="67">
        <v>41609</v>
      </c>
      <c r="W34" s="67">
        <v>41640</v>
      </c>
      <c r="X34" s="67">
        <v>41671</v>
      </c>
      <c r="Y34" s="67">
        <v>41699</v>
      </c>
      <c r="Z34" s="67">
        <v>41730</v>
      </c>
      <c r="AA34" s="67">
        <v>41760</v>
      </c>
      <c r="AB34" s="68">
        <v>41791</v>
      </c>
      <c r="AC34" s="595" t="s">
        <v>1585</v>
      </c>
      <c r="AD34" s="595" t="s">
        <v>238</v>
      </c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</row>
    <row r="35" spans="1:42" s="25" customFormat="1" ht="15">
      <c r="A35" s="331"/>
      <c r="B35" s="453"/>
      <c r="C35" s="534" t="s">
        <v>1661</v>
      </c>
      <c r="D35" s="496"/>
      <c r="E35" s="363"/>
      <c r="F35" s="364"/>
      <c r="G35" s="505"/>
      <c r="H35" s="364"/>
      <c r="I35" s="364"/>
      <c r="J35" s="364"/>
      <c r="K35" s="364"/>
      <c r="L35" s="364"/>
      <c r="M35" s="365"/>
      <c r="N35" s="522"/>
      <c r="O35" s="542"/>
      <c r="P35" s="535"/>
      <c r="Q35" s="514"/>
      <c r="R35" s="514"/>
      <c r="S35" s="515"/>
      <c r="T35" s="455"/>
      <c r="U35" s="455"/>
      <c r="V35" s="455"/>
      <c r="W35" s="455"/>
      <c r="X35" s="455"/>
      <c r="Y35" s="455"/>
      <c r="Z35" s="455"/>
      <c r="AA35" s="455"/>
      <c r="AB35" s="516"/>
      <c r="AC35" s="595"/>
      <c r="AD35" s="595"/>
    </row>
    <row r="36" spans="1:42" ht="15">
      <c r="A36" s="331"/>
      <c r="C36" s="587" t="str">
        <f>'App 7_Pre-operational Costs'!B9</f>
        <v>Fixture &amp; Fitting out</v>
      </c>
      <c r="D36" s="496"/>
      <c r="E36" s="363">
        <f>G36*F36</f>
        <v>150000</v>
      </c>
      <c r="F36" s="364">
        <f>'App 7_Pre-operational Costs'!C9</f>
        <v>1500</v>
      </c>
      <c r="G36" s="505">
        <f>'App 7_Pre-operational Costs'!E44</f>
        <v>100</v>
      </c>
      <c r="H36" s="506">
        <f>'App 7_Pre-operational Costs'!G9</f>
        <v>0</v>
      </c>
      <c r="I36" s="364">
        <f>'App 7_Pre-operational Costs'!H9</f>
        <v>0</v>
      </c>
      <c r="J36" s="364">
        <f>'App 7_Pre-operational Costs'!I9</f>
        <v>150000</v>
      </c>
      <c r="K36" s="364">
        <f>'App 7_Pre-operational Costs'!J44</f>
        <v>0</v>
      </c>
      <c r="L36" s="364">
        <f>'App 7_Pre-operational Costs'!K44</f>
        <v>0</v>
      </c>
      <c r="M36" s="365">
        <f>'App 7_Pre-operational Costs'!L44</f>
        <v>0</v>
      </c>
      <c r="N36" s="505">
        <f>P36*O36</f>
        <v>0</v>
      </c>
      <c r="O36" s="364">
        <f>SUM(Q36:AB36)</f>
        <v>0</v>
      </c>
      <c r="P36" s="505">
        <f>G36</f>
        <v>100</v>
      </c>
      <c r="Q36" s="506">
        <v>0</v>
      </c>
      <c r="R36" s="601">
        <v>0</v>
      </c>
      <c r="S36" s="602">
        <v>0</v>
      </c>
      <c r="T36" s="602">
        <v>0</v>
      </c>
      <c r="U36" s="602">
        <v>0</v>
      </c>
      <c r="V36" s="602">
        <v>0</v>
      </c>
      <c r="W36" s="602">
        <v>0</v>
      </c>
      <c r="X36" s="602">
        <v>0</v>
      </c>
      <c r="Y36" s="602">
        <v>0</v>
      </c>
      <c r="Z36" s="602">
        <v>0</v>
      </c>
      <c r="AA36" s="602">
        <v>0</v>
      </c>
      <c r="AB36" s="365">
        <v>0</v>
      </c>
      <c r="AC36" s="595"/>
      <c r="AD36" s="59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</row>
    <row r="37" spans="1:42" ht="15">
      <c r="A37" s="331"/>
      <c r="C37" s="339" t="s">
        <v>1573</v>
      </c>
      <c r="D37" s="314"/>
      <c r="E37" s="357">
        <f t="shared" ref="E37:E38" si="1">G37*F37</f>
        <v>1000</v>
      </c>
      <c r="F37" s="51">
        <f>'App 7_Pre-operational Costs'!C53</f>
        <v>1</v>
      </c>
      <c r="G37" s="507">
        <f>'App 7_Pre-operational Costs'!E53</f>
        <v>1000</v>
      </c>
      <c r="H37" s="572">
        <f>'App 7_Pre-operational Costs'!G53</f>
        <v>0</v>
      </c>
      <c r="I37" s="51">
        <f>'App 7_Pre-operational Costs'!H53</f>
        <v>0</v>
      </c>
      <c r="J37" s="51">
        <f>'App 7_Pre-operational Costs'!I18</f>
        <v>1000</v>
      </c>
      <c r="K37" s="51">
        <f>'App 7_Pre-operational Costs'!J53</f>
        <v>0</v>
      </c>
      <c r="L37" s="51">
        <f>'App 7_Pre-operational Costs'!K53</f>
        <v>0</v>
      </c>
      <c r="M37" s="368">
        <f>'App 7_Pre-operational Costs'!L53</f>
        <v>0</v>
      </c>
      <c r="N37" s="507">
        <f t="shared" ref="N37:N38" si="2">P37*O37</f>
        <v>0</v>
      </c>
      <c r="O37" s="51">
        <f t="shared" ref="O37:O38" si="3">SUM(Q37:AB37)</f>
        <v>0</v>
      </c>
      <c r="P37" s="507">
        <f>G37</f>
        <v>1000</v>
      </c>
      <c r="Q37" s="51">
        <v>0</v>
      </c>
      <c r="R37" s="603">
        <v>0</v>
      </c>
      <c r="S37" s="604">
        <v>0</v>
      </c>
      <c r="T37" s="51">
        <v>0</v>
      </c>
      <c r="U37" s="51">
        <v>0</v>
      </c>
      <c r="V37" s="51">
        <v>0</v>
      </c>
      <c r="W37" s="51">
        <v>0</v>
      </c>
      <c r="X37" s="51">
        <v>0</v>
      </c>
      <c r="Y37" s="51">
        <v>0</v>
      </c>
      <c r="Z37" s="51">
        <v>0</v>
      </c>
      <c r="AA37" s="51">
        <v>0</v>
      </c>
      <c r="AB37" s="368">
        <v>0</v>
      </c>
      <c r="AC37" s="595"/>
      <c r="AD37" s="59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</row>
    <row r="38" spans="1:42" ht="15">
      <c r="A38" s="331"/>
      <c r="C38" s="592" t="s">
        <v>1575</v>
      </c>
      <c r="D38" s="518"/>
      <c r="E38" s="369">
        <f t="shared" si="1"/>
        <v>100</v>
      </c>
      <c r="F38" s="34">
        <f>'App 7_Pre-operational Costs'!C54</f>
        <v>1</v>
      </c>
      <c r="G38" s="519">
        <f>'App 7_Pre-operational Costs'!E54</f>
        <v>100</v>
      </c>
      <c r="H38" s="573">
        <f>'App 7_Pre-operational Costs'!G54</f>
        <v>0</v>
      </c>
      <c r="I38" s="34">
        <f>'App 7_Pre-operational Costs'!H54</f>
        <v>0</v>
      </c>
      <c r="J38" s="34">
        <f>'App 7_Pre-operational Costs'!I19</f>
        <v>100</v>
      </c>
      <c r="K38" s="34">
        <f>'App 7_Pre-operational Costs'!J54</f>
        <v>0</v>
      </c>
      <c r="L38" s="34">
        <f>'App 7_Pre-operational Costs'!K54</f>
        <v>0</v>
      </c>
      <c r="M38" s="520">
        <f>'App 7_Pre-operational Costs'!L54</f>
        <v>0</v>
      </c>
      <c r="N38" s="519">
        <f t="shared" si="2"/>
        <v>0</v>
      </c>
      <c r="O38" s="34">
        <f t="shared" si="3"/>
        <v>0</v>
      </c>
      <c r="P38" s="519">
        <f>G38</f>
        <v>100</v>
      </c>
      <c r="Q38" s="34">
        <v>0</v>
      </c>
      <c r="R38" s="605">
        <v>0</v>
      </c>
      <c r="S38" s="606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0</v>
      </c>
      <c r="Z38" s="34">
        <v>0</v>
      </c>
      <c r="AA38" s="34">
        <v>0</v>
      </c>
      <c r="AB38" s="520">
        <v>0</v>
      </c>
      <c r="AC38" s="595"/>
      <c r="AD38" s="59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</row>
    <row r="39" spans="1:42" s="48" customFormat="1">
      <c r="A39" s="511"/>
      <c r="B39" s="641"/>
      <c r="C39" s="314" t="s">
        <v>239</v>
      </c>
      <c r="D39" s="314"/>
      <c r="E39" s="456"/>
      <c r="F39" s="51"/>
      <c r="G39" s="512"/>
      <c r="H39" s="51">
        <f>SUM(H36:H38)</f>
        <v>0</v>
      </c>
      <c r="I39" s="51">
        <f t="shared" ref="I39:M39" si="4">SUM(I36:I38)</f>
        <v>0</v>
      </c>
      <c r="J39" s="51">
        <f t="shared" si="4"/>
        <v>151100</v>
      </c>
      <c r="K39" s="51">
        <f t="shared" si="4"/>
        <v>0</v>
      </c>
      <c r="L39" s="51">
        <f t="shared" si="4"/>
        <v>0</v>
      </c>
      <c r="M39" s="51">
        <f t="shared" si="4"/>
        <v>0</v>
      </c>
      <c r="O39" s="521"/>
      <c r="Q39" s="51">
        <f t="shared" ref="Q39" si="5">SUM(Q36:Q38)</f>
        <v>0</v>
      </c>
      <c r="R39" s="51">
        <f t="shared" ref="R39" si="6">SUM(R36:R38)</f>
        <v>0</v>
      </c>
      <c r="S39" s="51">
        <f t="shared" ref="S39" si="7">SUM(S36:S38)</f>
        <v>0</v>
      </c>
      <c r="T39" s="51">
        <f t="shared" ref="T39" si="8">SUM(T36:T38)</f>
        <v>0</v>
      </c>
      <c r="U39" s="51">
        <f t="shared" ref="U39" si="9">SUM(U36:U38)</f>
        <v>0</v>
      </c>
      <c r="V39" s="51">
        <f t="shared" ref="V39" si="10">SUM(V36:V38)</f>
        <v>0</v>
      </c>
      <c r="W39" s="51">
        <f t="shared" ref="W39" si="11">SUM(W36:W38)</f>
        <v>0</v>
      </c>
      <c r="X39" s="51">
        <f t="shared" ref="X39" si="12">SUM(X36:X38)</f>
        <v>0</v>
      </c>
      <c r="Y39" s="51">
        <f t="shared" ref="Y39" si="13">SUM(Y36:Y38)</f>
        <v>0</v>
      </c>
      <c r="Z39" s="51">
        <f t="shared" ref="Z39" si="14">SUM(Z36:Z38)</f>
        <v>0</v>
      </c>
      <c r="AA39" s="51">
        <f t="shared" ref="AA39" si="15">SUM(AA36:AA38)</f>
        <v>0</v>
      </c>
      <c r="AB39" s="51">
        <f t="shared" ref="AB39" si="16">SUM(AB36:AB38)</f>
        <v>0</v>
      </c>
      <c r="AC39" s="597"/>
      <c r="AD39" s="597"/>
    </row>
    <row r="40" spans="1:42" s="48" customFormat="1">
      <c r="A40" s="511"/>
      <c r="B40" s="641"/>
      <c r="D40" s="314"/>
      <c r="E40" s="456"/>
      <c r="F40" s="51"/>
      <c r="G40" s="512"/>
      <c r="H40" s="51"/>
      <c r="I40" s="51"/>
      <c r="J40" s="51"/>
      <c r="K40" s="51"/>
      <c r="L40" s="51"/>
      <c r="M40" s="51"/>
      <c r="O40" s="521"/>
      <c r="AC40" s="597"/>
      <c r="AD40" s="597"/>
    </row>
    <row r="41" spans="1:42" s="25" customFormat="1" ht="15">
      <c r="A41" s="331"/>
      <c r="B41" s="453"/>
      <c r="C41" s="534" t="str">
        <f>C209</f>
        <v>Emergency Room</v>
      </c>
      <c r="D41" s="496"/>
      <c r="E41" s="363"/>
      <c r="F41" s="364"/>
      <c r="G41" s="505"/>
      <c r="H41" s="364"/>
      <c r="I41" s="364"/>
      <c r="J41" s="364"/>
      <c r="K41" s="364"/>
      <c r="L41" s="364"/>
      <c r="M41" s="365"/>
      <c r="N41" s="522"/>
      <c r="O41" s="542"/>
      <c r="P41" s="535"/>
      <c r="Q41" s="514"/>
      <c r="R41" s="514"/>
      <c r="S41" s="515"/>
      <c r="T41" s="455"/>
      <c r="U41" s="455"/>
      <c r="V41" s="455"/>
      <c r="W41" s="455"/>
      <c r="X41" s="455"/>
      <c r="Y41" s="455"/>
      <c r="Z41" s="455"/>
      <c r="AA41" s="455"/>
      <c r="AB41" s="516"/>
      <c r="AC41" s="595"/>
      <c r="AD41" s="595"/>
    </row>
    <row r="42" spans="1:42" s="25" customFormat="1">
      <c r="A42" s="331"/>
      <c r="B42" s="453"/>
      <c r="C42" s="47" t="str">
        <f t="shared" ref="C42:C45" si="17">C210</f>
        <v>Ambu bag valve mask</v>
      </c>
      <c r="D42" s="314"/>
      <c r="E42" s="357">
        <f>SUM(H42:M42)</f>
        <v>100</v>
      </c>
      <c r="F42" s="51">
        <f>F210</f>
        <v>2</v>
      </c>
      <c r="G42" s="507">
        <f>G210</f>
        <v>50</v>
      </c>
      <c r="H42" s="456">
        <f t="shared" ref="H42:M50" si="18">$G42*H210</f>
        <v>0</v>
      </c>
      <c r="I42" s="456">
        <f t="shared" si="18"/>
        <v>0</v>
      </c>
      <c r="J42" s="456">
        <f t="shared" si="18"/>
        <v>100</v>
      </c>
      <c r="K42" s="456">
        <f t="shared" si="18"/>
        <v>0</v>
      </c>
      <c r="L42" s="456">
        <f t="shared" si="18"/>
        <v>0</v>
      </c>
      <c r="M42" s="576">
        <f t="shared" si="18"/>
        <v>0</v>
      </c>
      <c r="N42" s="357">
        <f>SUM(Q42:AB42)</f>
        <v>0</v>
      </c>
      <c r="O42" s="521">
        <f>O210</f>
        <v>0</v>
      </c>
      <c r="P42" s="537">
        <f>G42</f>
        <v>50</v>
      </c>
      <c r="Q42" s="574">
        <f t="shared" ref="Q42:AB42" si="19">$P42*Q210</f>
        <v>0</v>
      </c>
      <c r="R42" s="574">
        <f t="shared" si="19"/>
        <v>0</v>
      </c>
      <c r="S42" s="574">
        <f t="shared" si="19"/>
        <v>0</v>
      </c>
      <c r="T42" s="574">
        <f t="shared" si="19"/>
        <v>0</v>
      </c>
      <c r="U42" s="574">
        <f t="shared" si="19"/>
        <v>0</v>
      </c>
      <c r="V42" s="574">
        <f t="shared" si="19"/>
        <v>0</v>
      </c>
      <c r="W42" s="574">
        <f t="shared" si="19"/>
        <v>0</v>
      </c>
      <c r="X42" s="574">
        <f t="shared" si="19"/>
        <v>0</v>
      </c>
      <c r="Y42" s="574">
        <f t="shared" si="19"/>
        <v>0</v>
      </c>
      <c r="Z42" s="574">
        <f t="shared" si="19"/>
        <v>0</v>
      </c>
      <c r="AA42" s="574">
        <f t="shared" si="19"/>
        <v>0</v>
      </c>
      <c r="AB42" s="575">
        <f t="shared" si="19"/>
        <v>0</v>
      </c>
      <c r="AC42" s="595"/>
      <c r="AD42" s="595"/>
    </row>
    <row r="43" spans="1:42" s="25" customFormat="1">
      <c r="A43" s="331"/>
      <c r="B43" s="453"/>
      <c r="C43" s="47" t="str">
        <f t="shared" si="17"/>
        <v>Personal oxygen generator</v>
      </c>
      <c r="D43" s="314"/>
      <c r="E43" s="357">
        <f t="shared" ref="E43:E50" si="20">SUM(H43:M43)</f>
        <v>350</v>
      </c>
      <c r="F43" s="51">
        <f t="shared" ref="F43:G43" si="21">F211</f>
        <v>1</v>
      </c>
      <c r="G43" s="507">
        <f t="shared" si="21"/>
        <v>350</v>
      </c>
      <c r="H43" s="456">
        <f t="shared" si="18"/>
        <v>0</v>
      </c>
      <c r="I43" s="456">
        <f t="shared" si="18"/>
        <v>0</v>
      </c>
      <c r="J43" s="456">
        <f t="shared" si="18"/>
        <v>350</v>
      </c>
      <c r="K43" s="456">
        <f t="shared" si="18"/>
        <v>0</v>
      </c>
      <c r="L43" s="456">
        <f t="shared" si="18"/>
        <v>0</v>
      </c>
      <c r="M43" s="576">
        <f t="shared" si="18"/>
        <v>0</v>
      </c>
      <c r="N43" s="357">
        <f t="shared" ref="N43:N50" si="22">SUM(Q43:AB43)</f>
        <v>0</v>
      </c>
      <c r="O43" s="521">
        <f t="shared" ref="O43:O45" si="23">O211</f>
        <v>0</v>
      </c>
      <c r="P43" s="537">
        <f t="shared" ref="P43:P50" si="24">G43</f>
        <v>350</v>
      </c>
      <c r="Q43" s="574">
        <f t="shared" ref="Q43:AB43" si="25">$P43*Q211</f>
        <v>0</v>
      </c>
      <c r="R43" s="574">
        <f t="shared" si="25"/>
        <v>0</v>
      </c>
      <c r="S43" s="574">
        <f t="shared" si="25"/>
        <v>0</v>
      </c>
      <c r="T43" s="574">
        <f t="shared" si="25"/>
        <v>0</v>
      </c>
      <c r="U43" s="574">
        <f t="shared" si="25"/>
        <v>0</v>
      </c>
      <c r="V43" s="574">
        <f t="shared" si="25"/>
        <v>0</v>
      </c>
      <c r="W43" s="574">
        <f t="shared" si="25"/>
        <v>0</v>
      </c>
      <c r="X43" s="574">
        <f t="shared" si="25"/>
        <v>0</v>
      </c>
      <c r="Y43" s="574">
        <f t="shared" si="25"/>
        <v>0</v>
      </c>
      <c r="Z43" s="574">
        <f t="shared" si="25"/>
        <v>0</v>
      </c>
      <c r="AA43" s="574">
        <f t="shared" si="25"/>
        <v>0</v>
      </c>
      <c r="AB43" s="575">
        <f t="shared" si="25"/>
        <v>0</v>
      </c>
      <c r="AC43" s="595"/>
      <c r="AD43" s="595"/>
    </row>
    <row r="44" spans="1:42" s="25" customFormat="1">
      <c r="A44" s="331"/>
      <c r="B44" s="453"/>
      <c r="C44" s="47" t="str">
        <f t="shared" si="17"/>
        <v>Emergency bed</v>
      </c>
      <c r="D44" s="314"/>
      <c r="E44" s="357">
        <f t="shared" si="20"/>
        <v>200</v>
      </c>
      <c r="F44" s="51">
        <f t="shared" ref="F44:G44" si="26">F212</f>
        <v>1</v>
      </c>
      <c r="G44" s="507">
        <f t="shared" si="26"/>
        <v>200</v>
      </c>
      <c r="H44" s="456">
        <f t="shared" si="18"/>
        <v>0</v>
      </c>
      <c r="I44" s="456">
        <f t="shared" si="18"/>
        <v>0</v>
      </c>
      <c r="J44" s="456">
        <f t="shared" si="18"/>
        <v>200</v>
      </c>
      <c r="K44" s="456">
        <f t="shared" si="18"/>
        <v>0</v>
      </c>
      <c r="L44" s="456">
        <f t="shared" si="18"/>
        <v>0</v>
      </c>
      <c r="M44" s="576">
        <f t="shared" si="18"/>
        <v>0</v>
      </c>
      <c r="N44" s="357">
        <f t="shared" si="22"/>
        <v>0</v>
      </c>
      <c r="O44" s="521">
        <f t="shared" si="23"/>
        <v>0</v>
      </c>
      <c r="P44" s="537">
        <f t="shared" si="24"/>
        <v>200</v>
      </c>
      <c r="Q44" s="574">
        <f t="shared" ref="Q44:AB44" si="27">$P44*Q212</f>
        <v>0</v>
      </c>
      <c r="R44" s="574">
        <f t="shared" si="27"/>
        <v>0</v>
      </c>
      <c r="S44" s="574">
        <f t="shared" si="27"/>
        <v>0</v>
      </c>
      <c r="T44" s="574">
        <f t="shared" si="27"/>
        <v>0</v>
      </c>
      <c r="U44" s="574">
        <f t="shared" si="27"/>
        <v>0</v>
      </c>
      <c r="V44" s="574">
        <f t="shared" si="27"/>
        <v>0</v>
      </c>
      <c r="W44" s="574">
        <f t="shared" si="27"/>
        <v>0</v>
      </c>
      <c r="X44" s="574">
        <f t="shared" si="27"/>
        <v>0</v>
      </c>
      <c r="Y44" s="574">
        <f t="shared" si="27"/>
        <v>0</v>
      </c>
      <c r="Z44" s="574">
        <f t="shared" si="27"/>
        <v>0</v>
      </c>
      <c r="AA44" s="574">
        <f t="shared" si="27"/>
        <v>0</v>
      </c>
      <c r="AB44" s="575">
        <f t="shared" si="27"/>
        <v>0</v>
      </c>
      <c r="AC44" s="595"/>
      <c r="AD44" s="595"/>
    </row>
    <row r="45" spans="1:42" s="25" customFormat="1">
      <c r="A45" s="331"/>
      <c r="B45" s="453"/>
      <c r="C45" s="47" t="str">
        <f t="shared" si="17"/>
        <v>Patient trolley</v>
      </c>
      <c r="D45" s="314"/>
      <c r="E45" s="357">
        <f t="shared" si="20"/>
        <v>100</v>
      </c>
      <c r="F45" s="51">
        <f t="shared" ref="F45:G45" si="28">F213</f>
        <v>1</v>
      </c>
      <c r="G45" s="507">
        <f t="shared" si="28"/>
        <v>100</v>
      </c>
      <c r="H45" s="456">
        <f t="shared" si="18"/>
        <v>0</v>
      </c>
      <c r="I45" s="456">
        <f t="shared" si="18"/>
        <v>0</v>
      </c>
      <c r="J45" s="456">
        <f t="shared" si="18"/>
        <v>100</v>
      </c>
      <c r="K45" s="456">
        <f t="shared" si="18"/>
        <v>0</v>
      </c>
      <c r="L45" s="456">
        <f t="shared" si="18"/>
        <v>0</v>
      </c>
      <c r="M45" s="576">
        <f t="shared" si="18"/>
        <v>0</v>
      </c>
      <c r="N45" s="357">
        <f t="shared" si="22"/>
        <v>0</v>
      </c>
      <c r="O45" s="521">
        <f t="shared" si="23"/>
        <v>0</v>
      </c>
      <c r="P45" s="537">
        <f t="shared" si="24"/>
        <v>100</v>
      </c>
      <c r="Q45" s="574">
        <f t="shared" ref="Q45:AB45" si="29">$P45*Q213</f>
        <v>0</v>
      </c>
      <c r="R45" s="574">
        <f t="shared" si="29"/>
        <v>0</v>
      </c>
      <c r="S45" s="574">
        <f t="shared" si="29"/>
        <v>0</v>
      </c>
      <c r="T45" s="574">
        <f t="shared" si="29"/>
        <v>0</v>
      </c>
      <c r="U45" s="574">
        <f t="shared" si="29"/>
        <v>0</v>
      </c>
      <c r="V45" s="574">
        <f t="shared" si="29"/>
        <v>0</v>
      </c>
      <c r="W45" s="574">
        <f t="shared" si="29"/>
        <v>0</v>
      </c>
      <c r="X45" s="574">
        <f t="shared" si="29"/>
        <v>0</v>
      </c>
      <c r="Y45" s="574">
        <f t="shared" si="29"/>
        <v>0</v>
      </c>
      <c r="Z45" s="574">
        <f t="shared" si="29"/>
        <v>0</v>
      </c>
      <c r="AA45" s="574">
        <f t="shared" si="29"/>
        <v>0</v>
      </c>
      <c r="AB45" s="575">
        <f t="shared" si="29"/>
        <v>0</v>
      </c>
      <c r="AC45" s="595"/>
      <c r="AD45" s="595"/>
    </row>
    <row r="46" spans="1:42" s="25" customFormat="1">
      <c r="A46" s="331"/>
      <c r="B46" s="453"/>
      <c r="C46" s="47" t="str">
        <f>C214</f>
        <v>Minor surgery kits</v>
      </c>
      <c r="D46" s="314"/>
      <c r="E46" s="357">
        <f t="shared" si="20"/>
        <v>200</v>
      </c>
      <c r="F46" s="51">
        <f>F214</f>
        <v>2</v>
      </c>
      <c r="G46" s="507">
        <f>G214</f>
        <v>100</v>
      </c>
      <c r="H46" s="456">
        <f t="shared" si="18"/>
        <v>0</v>
      </c>
      <c r="I46" s="456">
        <f t="shared" si="18"/>
        <v>0</v>
      </c>
      <c r="J46" s="456">
        <f t="shared" si="18"/>
        <v>200</v>
      </c>
      <c r="K46" s="456">
        <f t="shared" si="18"/>
        <v>0</v>
      </c>
      <c r="L46" s="456">
        <f t="shared" si="18"/>
        <v>0</v>
      </c>
      <c r="M46" s="576">
        <f t="shared" si="18"/>
        <v>0</v>
      </c>
      <c r="N46" s="357">
        <f t="shared" si="22"/>
        <v>0</v>
      </c>
      <c r="O46" s="521">
        <f>O214</f>
        <v>0</v>
      </c>
      <c r="P46" s="537">
        <f t="shared" si="24"/>
        <v>100</v>
      </c>
      <c r="Q46" s="574">
        <f t="shared" ref="Q46:AB46" si="30">$P46*Q214</f>
        <v>0</v>
      </c>
      <c r="R46" s="574">
        <f t="shared" si="30"/>
        <v>0</v>
      </c>
      <c r="S46" s="574">
        <f t="shared" si="30"/>
        <v>0</v>
      </c>
      <c r="T46" s="574">
        <f t="shared" si="30"/>
        <v>0</v>
      </c>
      <c r="U46" s="574">
        <f t="shared" si="30"/>
        <v>0</v>
      </c>
      <c r="V46" s="574">
        <f t="shared" si="30"/>
        <v>0</v>
      </c>
      <c r="W46" s="574">
        <f t="shared" si="30"/>
        <v>0</v>
      </c>
      <c r="X46" s="574">
        <f t="shared" si="30"/>
        <v>0</v>
      </c>
      <c r="Y46" s="574">
        <f t="shared" si="30"/>
        <v>0</v>
      </c>
      <c r="Z46" s="574">
        <f t="shared" si="30"/>
        <v>0</v>
      </c>
      <c r="AA46" s="574">
        <f t="shared" si="30"/>
        <v>0</v>
      </c>
      <c r="AB46" s="575">
        <f t="shared" si="30"/>
        <v>0</v>
      </c>
      <c r="AC46" s="595"/>
      <c r="AD46" s="595"/>
    </row>
    <row r="47" spans="1:42" s="25" customFormat="1">
      <c r="A47" s="331"/>
      <c r="B47" s="453"/>
      <c r="C47" s="47" t="str">
        <f>C215</f>
        <v xml:space="preserve">Ventilator </v>
      </c>
      <c r="D47" s="314"/>
      <c r="E47" s="357">
        <f t="shared" si="20"/>
        <v>5000</v>
      </c>
      <c r="F47" s="51">
        <f t="shared" ref="F47:G47" si="31">F215</f>
        <v>1</v>
      </c>
      <c r="G47" s="507">
        <f t="shared" si="31"/>
        <v>5000</v>
      </c>
      <c r="H47" s="456">
        <f t="shared" si="18"/>
        <v>0</v>
      </c>
      <c r="I47" s="456">
        <f t="shared" si="18"/>
        <v>0</v>
      </c>
      <c r="J47" s="456">
        <f t="shared" si="18"/>
        <v>5000</v>
      </c>
      <c r="K47" s="456">
        <f t="shared" si="18"/>
        <v>0</v>
      </c>
      <c r="L47" s="456">
        <f t="shared" si="18"/>
        <v>0</v>
      </c>
      <c r="M47" s="576">
        <f t="shared" si="18"/>
        <v>0</v>
      </c>
      <c r="N47" s="357">
        <f t="shared" si="22"/>
        <v>0</v>
      </c>
      <c r="O47" s="521">
        <f>O215</f>
        <v>0</v>
      </c>
      <c r="P47" s="537">
        <f t="shared" si="24"/>
        <v>5000</v>
      </c>
      <c r="Q47" s="574">
        <f t="shared" ref="Q47:AB47" si="32">$P47*Q215</f>
        <v>0</v>
      </c>
      <c r="R47" s="574">
        <f t="shared" si="32"/>
        <v>0</v>
      </c>
      <c r="S47" s="574">
        <f t="shared" si="32"/>
        <v>0</v>
      </c>
      <c r="T47" s="574">
        <f t="shared" si="32"/>
        <v>0</v>
      </c>
      <c r="U47" s="574">
        <f t="shared" si="32"/>
        <v>0</v>
      </c>
      <c r="V47" s="574">
        <f t="shared" si="32"/>
        <v>0</v>
      </c>
      <c r="W47" s="574">
        <f t="shared" si="32"/>
        <v>0</v>
      </c>
      <c r="X47" s="574">
        <f t="shared" si="32"/>
        <v>0</v>
      </c>
      <c r="Y47" s="574">
        <f t="shared" si="32"/>
        <v>0</v>
      </c>
      <c r="Z47" s="574">
        <f t="shared" si="32"/>
        <v>0</v>
      </c>
      <c r="AA47" s="574">
        <f t="shared" si="32"/>
        <v>0</v>
      </c>
      <c r="AB47" s="575">
        <f t="shared" si="32"/>
        <v>0</v>
      </c>
      <c r="AC47" s="595"/>
      <c r="AD47" s="595"/>
    </row>
    <row r="48" spans="1:42" s="25" customFormat="1">
      <c r="A48" s="331"/>
      <c r="B48" s="453"/>
      <c r="C48" s="47" t="str">
        <f>C216</f>
        <v>Anesthasia machine</v>
      </c>
      <c r="D48" s="314"/>
      <c r="E48" s="357">
        <f t="shared" si="20"/>
        <v>8000</v>
      </c>
      <c r="F48" s="51">
        <f t="shared" ref="F48:G48" si="33">F216</f>
        <v>1</v>
      </c>
      <c r="G48" s="507">
        <f t="shared" si="33"/>
        <v>8000</v>
      </c>
      <c r="H48" s="456">
        <f t="shared" si="18"/>
        <v>0</v>
      </c>
      <c r="I48" s="456">
        <f t="shared" si="18"/>
        <v>0</v>
      </c>
      <c r="J48" s="456">
        <f t="shared" si="18"/>
        <v>8000</v>
      </c>
      <c r="K48" s="456">
        <f t="shared" si="18"/>
        <v>0</v>
      </c>
      <c r="L48" s="456">
        <f t="shared" si="18"/>
        <v>0</v>
      </c>
      <c r="M48" s="576">
        <f t="shared" si="18"/>
        <v>0</v>
      </c>
      <c r="N48" s="357">
        <f t="shared" si="22"/>
        <v>0</v>
      </c>
      <c r="O48" s="521">
        <f>O216</f>
        <v>0</v>
      </c>
      <c r="P48" s="537">
        <f t="shared" si="24"/>
        <v>8000</v>
      </c>
      <c r="Q48" s="574">
        <f t="shared" ref="Q48:AB48" si="34">$P48*Q216</f>
        <v>0</v>
      </c>
      <c r="R48" s="574">
        <f t="shared" si="34"/>
        <v>0</v>
      </c>
      <c r="S48" s="574">
        <f t="shared" si="34"/>
        <v>0</v>
      </c>
      <c r="T48" s="574">
        <f t="shared" si="34"/>
        <v>0</v>
      </c>
      <c r="U48" s="574">
        <f t="shared" si="34"/>
        <v>0</v>
      </c>
      <c r="V48" s="574">
        <f t="shared" si="34"/>
        <v>0</v>
      </c>
      <c r="W48" s="574">
        <f t="shared" si="34"/>
        <v>0</v>
      </c>
      <c r="X48" s="574">
        <f t="shared" si="34"/>
        <v>0</v>
      </c>
      <c r="Y48" s="574">
        <f t="shared" si="34"/>
        <v>0</v>
      </c>
      <c r="Z48" s="574">
        <f t="shared" si="34"/>
        <v>0</v>
      </c>
      <c r="AA48" s="574">
        <f t="shared" si="34"/>
        <v>0</v>
      </c>
      <c r="AB48" s="575">
        <f t="shared" si="34"/>
        <v>0</v>
      </c>
      <c r="AC48" s="595"/>
      <c r="AD48" s="595"/>
    </row>
    <row r="49" spans="1:30" s="25" customFormat="1">
      <c r="A49" s="331"/>
      <c r="B49" s="453"/>
      <c r="C49" s="47" t="str">
        <f>C217</f>
        <v>Infusion pump</v>
      </c>
      <c r="D49" s="314"/>
      <c r="E49" s="357">
        <f t="shared" si="20"/>
        <v>1100</v>
      </c>
      <c r="F49" s="51">
        <f t="shared" ref="F49:G49" si="35">F217</f>
        <v>1</v>
      </c>
      <c r="G49" s="507">
        <f t="shared" si="35"/>
        <v>1100</v>
      </c>
      <c r="H49" s="456">
        <f t="shared" si="18"/>
        <v>0</v>
      </c>
      <c r="I49" s="456">
        <f t="shared" si="18"/>
        <v>0</v>
      </c>
      <c r="J49" s="456">
        <f t="shared" si="18"/>
        <v>1100</v>
      </c>
      <c r="K49" s="456">
        <f t="shared" si="18"/>
        <v>0</v>
      </c>
      <c r="L49" s="456">
        <f t="shared" si="18"/>
        <v>0</v>
      </c>
      <c r="M49" s="576">
        <f t="shared" si="18"/>
        <v>0</v>
      </c>
      <c r="N49" s="357">
        <f t="shared" si="22"/>
        <v>0</v>
      </c>
      <c r="O49" s="521">
        <f>O217</f>
        <v>0</v>
      </c>
      <c r="P49" s="537">
        <f t="shared" si="24"/>
        <v>1100</v>
      </c>
      <c r="Q49" s="574">
        <f t="shared" ref="Q49:AB49" si="36">$P49*Q217</f>
        <v>0</v>
      </c>
      <c r="R49" s="574">
        <f t="shared" si="36"/>
        <v>0</v>
      </c>
      <c r="S49" s="574">
        <f t="shared" si="36"/>
        <v>0</v>
      </c>
      <c r="T49" s="574">
        <f t="shared" si="36"/>
        <v>0</v>
      </c>
      <c r="U49" s="574">
        <f t="shared" si="36"/>
        <v>0</v>
      </c>
      <c r="V49" s="574">
        <f t="shared" si="36"/>
        <v>0</v>
      </c>
      <c r="W49" s="574">
        <f t="shared" si="36"/>
        <v>0</v>
      </c>
      <c r="X49" s="574">
        <f t="shared" si="36"/>
        <v>0</v>
      </c>
      <c r="Y49" s="574">
        <f t="shared" si="36"/>
        <v>0</v>
      </c>
      <c r="Z49" s="574">
        <f t="shared" si="36"/>
        <v>0</v>
      </c>
      <c r="AA49" s="574">
        <f t="shared" si="36"/>
        <v>0</v>
      </c>
      <c r="AB49" s="575">
        <f t="shared" si="36"/>
        <v>0</v>
      </c>
      <c r="AC49" s="595"/>
      <c r="AD49" s="595"/>
    </row>
    <row r="50" spans="1:30" s="25" customFormat="1">
      <c r="A50" s="331"/>
      <c r="B50" s="453"/>
      <c r="C50" s="47" t="str">
        <f>C218</f>
        <v>Electric Generator 2500w-3000w,220v,50hz</v>
      </c>
      <c r="D50" s="314"/>
      <c r="E50" s="357">
        <f t="shared" si="20"/>
        <v>1000</v>
      </c>
      <c r="F50" s="51">
        <f t="shared" ref="F50:G50" si="37">F218</f>
        <v>1</v>
      </c>
      <c r="G50" s="507">
        <f t="shared" si="37"/>
        <v>1000</v>
      </c>
      <c r="H50" s="456">
        <f t="shared" si="18"/>
        <v>0</v>
      </c>
      <c r="I50" s="456">
        <f t="shared" si="18"/>
        <v>0</v>
      </c>
      <c r="J50" s="456">
        <f t="shared" si="18"/>
        <v>1000</v>
      </c>
      <c r="K50" s="456">
        <f t="shared" si="18"/>
        <v>0</v>
      </c>
      <c r="L50" s="456">
        <f t="shared" si="18"/>
        <v>0</v>
      </c>
      <c r="M50" s="576">
        <f t="shared" si="18"/>
        <v>0</v>
      </c>
      <c r="N50" s="357">
        <f t="shared" si="22"/>
        <v>0</v>
      </c>
      <c r="O50" s="521">
        <f>O218</f>
        <v>0</v>
      </c>
      <c r="P50" s="537">
        <f t="shared" si="24"/>
        <v>1000</v>
      </c>
      <c r="Q50" s="574">
        <f t="shared" ref="Q50:AB50" si="38">$P50*Q218</f>
        <v>0</v>
      </c>
      <c r="R50" s="574">
        <f t="shared" si="38"/>
        <v>0</v>
      </c>
      <c r="S50" s="574">
        <f t="shared" si="38"/>
        <v>0</v>
      </c>
      <c r="T50" s="574">
        <f t="shared" si="38"/>
        <v>0</v>
      </c>
      <c r="U50" s="574">
        <f t="shared" si="38"/>
        <v>0</v>
      </c>
      <c r="V50" s="574">
        <f t="shared" si="38"/>
        <v>0</v>
      </c>
      <c r="W50" s="574">
        <f t="shared" si="38"/>
        <v>0</v>
      </c>
      <c r="X50" s="574">
        <f t="shared" si="38"/>
        <v>0</v>
      </c>
      <c r="Y50" s="574">
        <f t="shared" si="38"/>
        <v>0</v>
      </c>
      <c r="Z50" s="574">
        <f t="shared" si="38"/>
        <v>0</v>
      </c>
      <c r="AA50" s="574">
        <f t="shared" si="38"/>
        <v>0</v>
      </c>
      <c r="AB50" s="575">
        <f t="shared" si="38"/>
        <v>0</v>
      </c>
      <c r="AC50" s="595"/>
      <c r="AD50" s="595"/>
    </row>
    <row r="51" spans="1:30" s="25" customFormat="1" ht="15">
      <c r="A51" s="331"/>
      <c r="B51" s="453"/>
      <c r="C51" s="497"/>
      <c r="D51" s="314"/>
      <c r="E51" s="357"/>
      <c r="F51" s="51"/>
      <c r="G51" s="507"/>
      <c r="H51" s="456"/>
      <c r="I51" s="456"/>
      <c r="J51" s="456"/>
      <c r="K51" s="456"/>
      <c r="L51" s="456"/>
      <c r="M51" s="576"/>
      <c r="N51" s="523"/>
      <c r="O51" s="544"/>
      <c r="P51" s="536"/>
      <c r="Q51" s="578"/>
      <c r="R51" s="578"/>
      <c r="S51" s="579"/>
      <c r="T51" s="574"/>
      <c r="U51" s="574"/>
      <c r="V51" s="574"/>
      <c r="W51" s="574"/>
      <c r="X51" s="574"/>
      <c r="Y51" s="574"/>
      <c r="Z51" s="574"/>
      <c r="AA51" s="574"/>
      <c r="AB51" s="575"/>
      <c r="AC51" s="595"/>
      <c r="AD51" s="595"/>
    </row>
    <row r="52" spans="1:30" s="25" customFormat="1" ht="15">
      <c r="A52" s="331"/>
      <c r="B52" s="453"/>
      <c r="C52" s="499" t="s">
        <v>234</v>
      </c>
      <c r="D52" s="343"/>
      <c r="E52" s="370">
        <f>SUM(E42:E50)</f>
        <v>16050</v>
      </c>
      <c r="F52" s="501"/>
      <c r="G52" s="500"/>
      <c r="H52" s="580">
        <f t="shared" ref="H52:N52" si="39">SUM(H42:H50)</f>
        <v>0</v>
      </c>
      <c r="I52" s="530">
        <f t="shared" si="39"/>
        <v>0</v>
      </c>
      <c r="J52" s="530">
        <f t="shared" si="39"/>
        <v>16050</v>
      </c>
      <c r="K52" s="530">
        <f t="shared" si="39"/>
        <v>0</v>
      </c>
      <c r="L52" s="530">
        <f t="shared" si="39"/>
        <v>0</v>
      </c>
      <c r="M52" s="577">
        <f t="shared" si="39"/>
        <v>0</v>
      </c>
      <c r="N52" s="555">
        <f t="shared" si="39"/>
        <v>0</v>
      </c>
      <c r="O52" s="545"/>
      <c r="P52" s="546"/>
      <c r="Q52" s="530">
        <f t="shared" ref="Q52:AB52" si="40">SUM(Q42:Q50)</f>
        <v>0</v>
      </c>
      <c r="R52" s="530">
        <f t="shared" si="40"/>
        <v>0</v>
      </c>
      <c r="S52" s="530">
        <f t="shared" si="40"/>
        <v>0</v>
      </c>
      <c r="T52" s="530">
        <f t="shared" si="40"/>
        <v>0</v>
      </c>
      <c r="U52" s="530">
        <f t="shared" si="40"/>
        <v>0</v>
      </c>
      <c r="V52" s="530">
        <f t="shared" si="40"/>
        <v>0</v>
      </c>
      <c r="W52" s="530">
        <f t="shared" si="40"/>
        <v>0</v>
      </c>
      <c r="X52" s="530">
        <f t="shared" si="40"/>
        <v>0</v>
      </c>
      <c r="Y52" s="530">
        <f t="shared" si="40"/>
        <v>0</v>
      </c>
      <c r="Z52" s="530">
        <f t="shared" si="40"/>
        <v>0</v>
      </c>
      <c r="AA52" s="530">
        <f t="shared" si="40"/>
        <v>0</v>
      </c>
      <c r="AB52" s="530">
        <f t="shared" si="40"/>
        <v>0</v>
      </c>
      <c r="AC52" s="595"/>
      <c r="AD52" s="595"/>
    </row>
    <row r="53" spans="1:30" s="25" customFormat="1" ht="15">
      <c r="A53" s="331"/>
      <c r="B53" s="453"/>
      <c r="C53" s="314"/>
      <c r="D53" s="314"/>
      <c r="E53" s="550"/>
      <c r="F53" s="322"/>
      <c r="G53" s="548"/>
      <c r="H53" s="549"/>
      <c r="I53" s="549"/>
      <c r="J53" s="51"/>
      <c r="K53" s="51"/>
      <c r="L53" s="51"/>
      <c r="M53" s="51"/>
      <c r="N53" s="349"/>
      <c r="O53" s="350"/>
      <c r="P53" s="351"/>
      <c r="Q53" s="352"/>
      <c r="R53" s="352"/>
      <c r="S53" s="348"/>
      <c r="T53" s="48"/>
      <c r="U53" s="48"/>
      <c r="V53" s="48"/>
      <c r="W53" s="48"/>
      <c r="X53" s="48"/>
      <c r="Y53" s="48"/>
      <c r="Z53" s="48"/>
      <c r="AA53" s="48"/>
      <c r="AB53" s="48"/>
      <c r="AC53" s="595"/>
      <c r="AD53" s="595"/>
    </row>
    <row r="54" spans="1:30" s="25" customFormat="1" ht="15">
      <c r="A54" s="331"/>
      <c r="B54" s="453"/>
      <c r="C54" s="534" t="str">
        <f>C222</f>
        <v>Patient Room</v>
      </c>
      <c r="D54" s="496"/>
      <c r="E54" s="363"/>
      <c r="F54" s="364"/>
      <c r="G54" s="505"/>
      <c r="H54" s="364"/>
      <c r="I54" s="364"/>
      <c r="J54" s="364"/>
      <c r="K54" s="364"/>
      <c r="L54" s="364"/>
      <c r="M54" s="365"/>
      <c r="N54" s="522"/>
      <c r="O54" s="542"/>
      <c r="P54" s="535"/>
      <c r="Q54" s="514"/>
      <c r="R54" s="514"/>
      <c r="S54" s="515"/>
      <c r="T54" s="455"/>
      <c r="U54" s="455"/>
      <c r="V54" s="455"/>
      <c r="W54" s="455"/>
      <c r="X54" s="455"/>
      <c r="Y54" s="455"/>
      <c r="Z54" s="455"/>
      <c r="AA54" s="455"/>
      <c r="AB54" s="516"/>
      <c r="AC54" s="595"/>
      <c r="AD54" s="595"/>
    </row>
    <row r="55" spans="1:30" s="25" customFormat="1">
      <c r="A55" s="331"/>
      <c r="B55" s="453"/>
      <c r="C55" s="47" t="str">
        <f t="shared" ref="C55:C56" si="41">C223</f>
        <v>Patient beds (in-day)</v>
      </c>
      <c r="D55" s="314"/>
      <c r="E55" s="357">
        <f>SUM(H55:M55)</f>
        <v>750</v>
      </c>
      <c r="F55" s="51">
        <f>F223</f>
        <v>5</v>
      </c>
      <c r="G55" s="507">
        <f>G223</f>
        <v>150</v>
      </c>
      <c r="H55" s="456">
        <f t="shared" ref="H55:M56" si="42">$G55*H223</f>
        <v>0</v>
      </c>
      <c r="I55" s="456">
        <f t="shared" si="42"/>
        <v>0</v>
      </c>
      <c r="J55" s="456">
        <f t="shared" si="42"/>
        <v>750</v>
      </c>
      <c r="K55" s="456">
        <f t="shared" si="42"/>
        <v>0</v>
      </c>
      <c r="L55" s="456">
        <f t="shared" si="42"/>
        <v>0</v>
      </c>
      <c r="M55" s="576">
        <f t="shared" si="42"/>
        <v>0</v>
      </c>
      <c r="N55" s="357">
        <f>SUM(Q55:AB55)</f>
        <v>0</v>
      </c>
      <c r="O55" s="521">
        <f>O223</f>
        <v>0</v>
      </c>
      <c r="P55" s="537">
        <f>G55</f>
        <v>150</v>
      </c>
      <c r="Q55" s="574">
        <f t="shared" ref="Q55:AB55" si="43">$P55*Q223</f>
        <v>0</v>
      </c>
      <c r="R55" s="574">
        <f t="shared" si="43"/>
        <v>0</v>
      </c>
      <c r="S55" s="574">
        <f t="shared" si="43"/>
        <v>0</v>
      </c>
      <c r="T55" s="574">
        <f t="shared" si="43"/>
        <v>0</v>
      </c>
      <c r="U55" s="574">
        <f t="shared" si="43"/>
        <v>0</v>
      </c>
      <c r="V55" s="574">
        <f t="shared" si="43"/>
        <v>0</v>
      </c>
      <c r="W55" s="574">
        <f t="shared" si="43"/>
        <v>0</v>
      </c>
      <c r="X55" s="574">
        <f t="shared" si="43"/>
        <v>0</v>
      </c>
      <c r="Y55" s="574">
        <f t="shared" si="43"/>
        <v>0</v>
      </c>
      <c r="Z55" s="574">
        <f t="shared" si="43"/>
        <v>0</v>
      </c>
      <c r="AA55" s="574">
        <f t="shared" si="43"/>
        <v>0</v>
      </c>
      <c r="AB55" s="575">
        <f t="shared" si="43"/>
        <v>0</v>
      </c>
      <c r="AC55" s="595"/>
      <c r="AD55" s="595"/>
    </row>
    <row r="56" spans="1:30" s="25" customFormat="1">
      <c r="A56" s="331"/>
      <c r="B56" s="453"/>
      <c r="C56" s="47" t="str">
        <f t="shared" si="41"/>
        <v>Nurse calling system</v>
      </c>
      <c r="D56" s="314"/>
      <c r="E56" s="357">
        <f>SUM(H56:M56)</f>
        <v>500</v>
      </c>
      <c r="F56" s="51">
        <f>F224</f>
        <v>1</v>
      </c>
      <c r="G56" s="507">
        <f>G224</f>
        <v>500</v>
      </c>
      <c r="H56" s="456">
        <f t="shared" si="42"/>
        <v>0</v>
      </c>
      <c r="I56" s="456">
        <f t="shared" si="42"/>
        <v>0</v>
      </c>
      <c r="J56" s="456">
        <f t="shared" si="42"/>
        <v>500</v>
      </c>
      <c r="K56" s="456">
        <f t="shared" si="42"/>
        <v>0</v>
      </c>
      <c r="L56" s="456">
        <f t="shared" si="42"/>
        <v>0</v>
      </c>
      <c r="M56" s="576">
        <f t="shared" si="42"/>
        <v>0</v>
      </c>
      <c r="N56" s="357">
        <f>SUM(Q56:AB56)</f>
        <v>0</v>
      </c>
      <c r="O56" s="521">
        <f>O224</f>
        <v>0</v>
      </c>
      <c r="P56" s="537">
        <f>G56</f>
        <v>500</v>
      </c>
      <c r="Q56" s="574">
        <f t="shared" ref="Q56:AB56" si="44">$P56*Q224</f>
        <v>0</v>
      </c>
      <c r="R56" s="574">
        <f t="shared" si="44"/>
        <v>0</v>
      </c>
      <c r="S56" s="574">
        <f t="shared" si="44"/>
        <v>0</v>
      </c>
      <c r="T56" s="574">
        <f t="shared" si="44"/>
        <v>0</v>
      </c>
      <c r="U56" s="574">
        <f t="shared" si="44"/>
        <v>0</v>
      </c>
      <c r="V56" s="574">
        <f t="shared" si="44"/>
        <v>0</v>
      </c>
      <c r="W56" s="574">
        <f t="shared" si="44"/>
        <v>0</v>
      </c>
      <c r="X56" s="574">
        <f t="shared" si="44"/>
        <v>0</v>
      </c>
      <c r="Y56" s="574">
        <f t="shared" si="44"/>
        <v>0</v>
      </c>
      <c r="Z56" s="574">
        <f t="shared" si="44"/>
        <v>0</v>
      </c>
      <c r="AA56" s="574">
        <f t="shared" si="44"/>
        <v>0</v>
      </c>
      <c r="AB56" s="575">
        <f t="shared" si="44"/>
        <v>0</v>
      </c>
      <c r="AC56" s="595"/>
      <c r="AD56" s="595"/>
    </row>
    <row r="57" spans="1:30" s="25" customFormat="1" ht="15">
      <c r="A57" s="331"/>
      <c r="B57" s="453"/>
      <c r="C57" s="497"/>
      <c r="D57" s="314"/>
      <c r="E57" s="357"/>
      <c r="F57" s="51"/>
      <c r="G57" s="507"/>
      <c r="H57" s="51"/>
      <c r="I57" s="51"/>
      <c r="J57" s="51"/>
      <c r="K57" s="51"/>
      <c r="L57" s="51"/>
      <c r="M57" s="368"/>
      <c r="N57" s="523"/>
      <c r="O57" s="544"/>
      <c r="P57" s="536"/>
      <c r="Q57" s="352"/>
      <c r="R57" s="352"/>
      <c r="S57" s="348"/>
      <c r="T57" s="48"/>
      <c r="U57" s="48"/>
      <c r="V57" s="48"/>
      <c r="W57" s="48"/>
      <c r="X57" s="48"/>
      <c r="Y57" s="48"/>
      <c r="Z57" s="48"/>
      <c r="AA57" s="48"/>
      <c r="AB57" s="372"/>
      <c r="AC57" s="595"/>
      <c r="AD57" s="595"/>
    </row>
    <row r="58" spans="1:30" s="25" customFormat="1" ht="15">
      <c r="A58" s="331"/>
      <c r="B58" s="453"/>
      <c r="C58" s="499" t="s">
        <v>234</v>
      </c>
      <c r="D58" s="343"/>
      <c r="E58" s="370">
        <f>SUM(E55:E56)</f>
        <v>1250</v>
      </c>
      <c r="F58" s="501"/>
      <c r="G58" s="500"/>
      <c r="H58" s="580">
        <f>SUM(H55:H56)</f>
        <v>0</v>
      </c>
      <c r="I58" s="530">
        <f>SUM(I55:I56)</f>
        <v>0</v>
      </c>
      <c r="J58" s="530">
        <f t="shared" ref="J58:M58" si="45">SUM(J55:J56)</f>
        <v>1250</v>
      </c>
      <c r="K58" s="530">
        <f t="shared" si="45"/>
        <v>0</v>
      </c>
      <c r="L58" s="530">
        <f t="shared" si="45"/>
        <v>0</v>
      </c>
      <c r="M58" s="577">
        <f t="shared" si="45"/>
        <v>0</v>
      </c>
      <c r="N58" s="370">
        <f>SUM(N55:N56)</f>
        <v>0</v>
      </c>
      <c r="O58" s="545"/>
      <c r="P58" s="546"/>
      <c r="Q58" s="580">
        <f>SUM(Q55:Q56)</f>
        <v>0</v>
      </c>
      <c r="R58" s="530">
        <f>SUM(R55:R56)</f>
        <v>0</v>
      </c>
      <c r="S58" s="530">
        <f t="shared" ref="S58:AB58" si="46">SUM(S55:S56)</f>
        <v>0</v>
      </c>
      <c r="T58" s="530">
        <f t="shared" si="46"/>
        <v>0</v>
      </c>
      <c r="U58" s="530">
        <f t="shared" si="46"/>
        <v>0</v>
      </c>
      <c r="V58" s="530">
        <f t="shared" si="46"/>
        <v>0</v>
      </c>
      <c r="W58" s="530">
        <f t="shared" si="46"/>
        <v>0</v>
      </c>
      <c r="X58" s="530">
        <f t="shared" si="46"/>
        <v>0</v>
      </c>
      <c r="Y58" s="530">
        <f t="shared" si="46"/>
        <v>0</v>
      </c>
      <c r="Z58" s="530">
        <f t="shared" si="46"/>
        <v>0</v>
      </c>
      <c r="AA58" s="530">
        <f t="shared" si="46"/>
        <v>0</v>
      </c>
      <c r="AB58" s="577">
        <f t="shared" si="46"/>
        <v>0</v>
      </c>
      <c r="AC58" s="595"/>
      <c r="AD58" s="595"/>
    </row>
    <row r="59" spans="1:30" s="25" customFormat="1" ht="15">
      <c r="A59" s="331"/>
      <c r="B59" s="453"/>
      <c r="C59" s="314"/>
      <c r="D59" s="314"/>
      <c r="E59" s="353"/>
      <c r="F59" s="322"/>
      <c r="G59" s="548"/>
      <c r="H59" s="549"/>
      <c r="I59" s="549"/>
      <c r="J59" s="51"/>
      <c r="K59" s="51"/>
      <c r="L59" s="51"/>
      <c r="M59" s="51"/>
      <c r="N59" s="349"/>
      <c r="O59" s="350"/>
      <c r="P59" s="351"/>
      <c r="Q59" s="352"/>
      <c r="R59" s="352"/>
      <c r="S59" s="348"/>
      <c r="T59" s="48"/>
      <c r="U59" s="48"/>
      <c r="V59" s="48"/>
      <c r="W59" s="48"/>
      <c r="X59" s="48"/>
      <c r="Y59" s="48"/>
      <c r="Z59" s="48"/>
      <c r="AA59" s="48"/>
      <c r="AB59" s="48"/>
      <c r="AC59" s="595"/>
      <c r="AD59" s="595"/>
    </row>
    <row r="60" spans="1:30" s="25" customFormat="1" ht="15">
      <c r="A60" s="331"/>
      <c r="B60" s="453"/>
      <c r="C60" s="534" t="str">
        <f>C228</f>
        <v>Check-up</v>
      </c>
      <c r="D60" s="496"/>
      <c r="E60" s="363"/>
      <c r="F60" s="364"/>
      <c r="G60" s="505"/>
      <c r="H60" s="364"/>
      <c r="I60" s="364"/>
      <c r="J60" s="364"/>
      <c r="K60" s="364"/>
      <c r="L60" s="364"/>
      <c r="M60" s="365"/>
      <c r="N60" s="522"/>
      <c r="O60" s="513"/>
      <c r="P60" s="535"/>
      <c r="Q60" s="531"/>
      <c r="R60" s="514"/>
      <c r="S60" s="515"/>
      <c r="T60" s="455"/>
      <c r="U60" s="455"/>
      <c r="V60" s="455"/>
      <c r="W60" s="455"/>
      <c r="X60" s="455"/>
      <c r="Y60" s="455"/>
      <c r="Z60" s="455"/>
      <c r="AA60" s="455"/>
      <c r="AB60" s="516"/>
      <c r="AC60" s="595"/>
      <c r="AD60" s="595"/>
    </row>
    <row r="61" spans="1:30" s="25" customFormat="1" ht="15">
      <c r="A61" s="331"/>
      <c r="B61" s="453"/>
      <c r="C61" s="498" t="str">
        <f t="shared" ref="C61:C64" si="47">C229</f>
        <v>Check-up- General equipments</v>
      </c>
      <c r="D61" s="314"/>
      <c r="E61" s="357"/>
      <c r="F61" s="51"/>
      <c r="G61" s="507"/>
      <c r="H61" s="51"/>
      <c r="I61" s="51"/>
      <c r="J61" s="51"/>
      <c r="K61" s="51"/>
      <c r="L61" s="51"/>
      <c r="M61" s="368"/>
      <c r="N61" s="523"/>
      <c r="O61" s="350"/>
      <c r="P61" s="536"/>
      <c r="Q61" s="532"/>
      <c r="R61" s="352"/>
      <c r="S61" s="348"/>
      <c r="T61" s="48"/>
      <c r="U61" s="48"/>
      <c r="V61" s="48"/>
      <c r="W61" s="48"/>
      <c r="X61" s="48"/>
      <c r="Y61" s="48"/>
      <c r="Z61" s="48"/>
      <c r="AA61" s="48"/>
      <c r="AB61" s="372"/>
      <c r="AC61" s="595"/>
      <c r="AD61" s="595"/>
    </row>
    <row r="62" spans="1:30" s="25" customFormat="1">
      <c r="A62" s="331"/>
      <c r="B62" s="453"/>
      <c r="C62" s="47" t="str">
        <f t="shared" si="47"/>
        <v>Scale with Height measuring instrument</v>
      </c>
      <c r="D62" s="314"/>
      <c r="E62" s="357">
        <f>SUM(H62:M62)</f>
        <v>1830</v>
      </c>
      <c r="F62" s="51">
        <f>F230</f>
        <v>2</v>
      </c>
      <c r="G62" s="507">
        <f>G230</f>
        <v>915</v>
      </c>
      <c r="H62" s="456">
        <f t="shared" ref="H62:M71" si="48">$G62*H230</f>
        <v>0</v>
      </c>
      <c r="I62" s="456">
        <f t="shared" si="48"/>
        <v>0</v>
      </c>
      <c r="J62" s="456">
        <f t="shared" si="48"/>
        <v>1830</v>
      </c>
      <c r="K62" s="456">
        <f t="shared" si="48"/>
        <v>0</v>
      </c>
      <c r="L62" s="456">
        <f t="shared" si="48"/>
        <v>0</v>
      </c>
      <c r="M62" s="576">
        <f t="shared" si="48"/>
        <v>0</v>
      </c>
      <c r="N62" s="357">
        <f>SUM(Q62:AB62)</f>
        <v>0</v>
      </c>
      <c r="O62" s="521">
        <f>O230</f>
        <v>0</v>
      </c>
      <c r="P62" s="537">
        <f>G62</f>
        <v>915</v>
      </c>
      <c r="Q62" s="574">
        <f t="shared" ref="Q62:AB62" si="49">$P62*Q230</f>
        <v>0</v>
      </c>
      <c r="R62" s="574">
        <f t="shared" si="49"/>
        <v>0</v>
      </c>
      <c r="S62" s="574">
        <f t="shared" si="49"/>
        <v>0</v>
      </c>
      <c r="T62" s="574">
        <f t="shared" si="49"/>
        <v>0</v>
      </c>
      <c r="U62" s="574">
        <f t="shared" si="49"/>
        <v>0</v>
      </c>
      <c r="V62" s="574">
        <f t="shared" si="49"/>
        <v>0</v>
      </c>
      <c r="W62" s="574">
        <f t="shared" si="49"/>
        <v>0</v>
      </c>
      <c r="X62" s="574">
        <f t="shared" si="49"/>
        <v>0</v>
      </c>
      <c r="Y62" s="574">
        <f t="shared" si="49"/>
        <v>0</v>
      </c>
      <c r="Z62" s="574">
        <f t="shared" si="49"/>
        <v>0</v>
      </c>
      <c r="AA62" s="574">
        <f t="shared" si="49"/>
        <v>0</v>
      </c>
      <c r="AB62" s="575">
        <f t="shared" si="49"/>
        <v>0</v>
      </c>
      <c r="AC62" s="595">
        <f>'List of equipment'!$Q$18</f>
        <v>2</v>
      </c>
      <c r="AD62" s="595" t="str">
        <f>IF(SUM(F62,O62)-AC62&gt;=0,"True","False")</f>
        <v>True</v>
      </c>
    </row>
    <row r="63" spans="1:30" s="25" customFormat="1">
      <c r="A63" s="331"/>
      <c r="B63" s="453"/>
      <c r="C63" s="47" t="str">
        <f t="shared" si="47"/>
        <v>Stethoscope</v>
      </c>
      <c r="D63" s="314"/>
      <c r="E63" s="357">
        <f t="shared" ref="E63:E95" si="50">SUM(H63:M63)</f>
        <v>3720</v>
      </c>
      <c r="F63" s="51">
        <f t="shared" ref="F63:G63" si="51">F231</f>
        <v>12</v>
      </c>
      <c r="G63" s="507">
        <f t="shared" si="51"/>
        <v>310</v>
      </c>
      <c r="H63" s="456">
        <f t="shared" si="48"/>
        <v>0</v>
      </c>
      <c r="I63" s="456">
        <f t="shared" si="48"/>
        <v>0</v>
      </c>
      <c r="J63" s="456">
        <f t="shared" si="48"/>
        <v>3720</v>
      </c>
      <c r="K63" s="456">
        <f t="shared" si="48"/>
        <v>0</v>
      </c>
      <c r="L63" s="456">
        <f t="shared" si="48"/>
        <v>0</v>
      </c>
      <c r="M63" s="576">
        <f t="shared" si="48"/>
        <v>0</v>
      </c>
      <c r="N63" s="357">
        <f t="shared" ref="N63:N95" si="52">SUM(Q63:AB63)</f>
        <v>0</v>
      </c>
      <c r="O63" s="521">
        <f t="shared" ref="O63:O64" si="53">O231</f>
        <v>0</v>
      </c>
      <c r="P63" s="537">
        <f t="shared" ref="P63:P95" si="54">G63</f>
        <v>310</v>
      </c>
      <c r="Q63" s="574">
        <f t="shared" ref="Q63:AB63" si="55">$P63*Q231</f>
        <v>0</v>
      </c>
      <c r="R63" s="574">
        <f t="shared" si="55"/>
        <v>0</v>
      </c>
      <c r="S63" s="574">
        <f t="shared" si="55"/>
        <v>0</v>
      </c>
      <c r="T63" s="574">
        <f t="shared" si="55"/>
        <v>0</v>
      </c>
      <c r="U63" s="574">
        <f t="shared" si="55"/>
        <v>0</v>
      </c>
      <c r="V63" s="574">
        <f t="shared" si="55"/>
        <v>0</v>
      </c>
      <c r="W63" s="574">
        <f t="shared" si="55"/>
        <v>0</v>
      </c>
      <c r="X63" s="574">
        <f t="shared" si="55"/>
        <v>0</v>
      </c>
      <c r="Y63" s="574">
        <f t="shared" si="55"/>
        <v>0</v>
      </c>
      <c r="Z63" s="574">
        <f t="shared" si="55"/>
        <v>0</v>
      </c>
      <c r="AA63" s="574">
        <f t="shared" si="55"/>
        <v>0</v>
      </c>
      <c r="AB63" s="575">
        <f t="shared" si="55"/>
        <v>0</v>
      </c>
      <c r="AC63" s="595">
        <f>SUM('App 9_Yr1 Headcount'!$K$189:$K$191)</f>
        <v>5</v>
      </c>
      <c r="AD63" s="595" t="str">
        <f t="shared" ref="AD63:AD65" si="56">IF(SUM(F63,O63)-AC63&gt;=0,"True","False")</f>
        <v>True</v>
      </c>
    </row>
    <row r="64" spans="1:30" s="25" customFormat="1">
      <c r="A64" s="331"/>
      <c r="B64" s="453"/>
      <c r="C64" s="47" t="str">
        <f t="shared" si="47"/>
        <v>Sphygmomanometer</v>
      </c>
      <c r="D64" s="314"/>
      <c r="E64" s="357">
        <f t="shared" si="50"/>
        <v>2160</v>
      </c>
      <c r="F64" s="51">
        <f t="shared" ref="F64:G64" si="57">F232</f>
        <v>12</v>
      </c>
      <c r="G64" s="507">
        <f t="shared" si="57"/>
        <v>180</v>
      </c>
      <c r="H64" s="456">
        <f t="shared" si="48"/>
        <v>0</v>
      </c>
      <c r="I64" s="456">
        <f t="shared" si="48"/>
        <v>0</v>
      </c>
      <c r="J64" s="456">
        <f t="shared" si="48"/>
        <v>2160</v>
      </c>
      <c r="K64" s="456">
        <f t="shared" si="48"/>
        <v>0</v>
      </c>
      <c r="L64" s="456">
        <f t="shared" si="48"/>
        <v>0</v>
      </c>
      <c r="M64" s="576">
        <f t="shared" si="48"/>
        <v>0</v>
      </c>
      <c r="N64" s="357">
        <f t="shared" si="52"/>
        <v>0</v>
      </c>
      <c r="O64" s="521">
        <f t="shared" si="53"/>
        <v>0</v>
      </c>
      <c r="P64" s="537">
        <f t="shared" si="54"/>
        <v>180</v>
      </c>
      <c r="Q64" s="574">
        <f t="shared" ref="Q64:AB64" si="58">$P64*Q232</f>
        <v>0</v>
      </c>
      <c r="R64" s="574">
        <f t="shared" si="58"/>
        <v>0</v>
      </c>
      <c r="S64" s="574">
        <f t="shared" si="58"/>
        <v>0</v>
      </c>
      <c r="T64" s="574">
        <f t="shared" si="58"/>
        <v>0</v>
      </c>
      <c r="U64" s="574">
        <f t="shared" si="58"/>
        <v>0</v>
      </c>
      <c r="V64" s="574">
        <f t="shared" si="58"/>
        <v>0</v>
      </c>
      <c r="W64" s="574">
        <f t="shared" si="58"/>
        <v>0</v>
      </c>
      <c r="X64" s="574">
        <f t="shared" si="58"/>
        <v>0</v>
      </c>
      <c r="Y64" s="574">
        <f t="shared" si="58"/>
        <v>0</v>
      </c>
      <c r="Z64" s="574">
        <f t="shared" si="58"/>
        <v>0</v>
      </c>
      <c r="AA64" s="574">
        <f t="shared" si="58"/>
        <v>0</v>
      </c>
      <c r="AB64" s="575">
        <f t="shared" si="58"/>
        <v>0</v>
      </c>
      <c r="AC64" s="595">
        <f>SUM('App 9_Yr1 Headcount'!$K$189:$K$191)</f>
        <v>5</v>
      </c>
      <c r="AD64" s="595" t="str">
        <f t="shared" si="56"/>
        <v>True</v>
      </c>
    </row>
    <row r="65" spans="1:30" s="25" customFormat="1">
      <c r="A65" s="331"/>
      <c r="B65" s="453"/>
      <c r="C65" s="47" t="str">
        <f t="shared" ref="C65:C71" si="59">C233</f>
        <v>ECG</v>
      </c>
      <c r="D65" s="314"/>
      <c r="E65" s="357">
        <f t="shared" si="50"/>
        <v>12000</v>
      </c>
      <c r="F65" s="51">
        <f t="shared" ref="F65:G65" si="60">F233</f>
        <v>1</v>
      </c>
      <c r="G65" s="507">
        <f t="shared" si="60"/>
        <v>12000</v>
      </c>
      <c r="H65" s="456">
        <f t="shared" si="48"/>
        <v>0</v>
      </c>
      <c r="I65" s="456">
        <f t="shared" si="48"/>
        <v>0</v>
      </c>
      <c r="J65" s="456">
        <f t="shared" si="48"/>
        <v>0</v>
      </c>
      <c r="K65" s="456">
        <f t="shared" si="48"/>
        <v>12000</v>
      </c>
      <c r="L65" s="456">
        <f t="shared" si="48"/>
        <v>0</v>
      </c>
      <c r="M65" s="576">
        <f t="shared" si="48"/>
        <v>0</v>
      </c>
      <c r="N65" s="357">
        <f t="shared" si="52"/>
        <v>0</v>
      </c>
      <c r="O65" s="521">
        <f t="shared" ref="O65:O71" si="61">O233</f>
        <v>0</v>
      </c>
      <c r="P65" s="537">
        <f t="shared" si="54"/>
        <v>12000</v>
      </c>
      <c r="Q65" s="574">
        <f t="shared" ref="Q65:AB65" si="62">$P65*Q233</f>
        <v>0</v>
      </c>
      <c r="R65" s="574">
        <f t="shared" si="62"/>
        <v>0</v>
      </c>
      <c r="S65" s="574">
        <f t="shared" si="62"/>
        <v>0</v>
      </c>
      <c r="T65" s="574">
        <f t="shared" si="62"/>
        <v>0</v>
      </c>
      <c r="U65" s="574">
        <f t="shared" si="62"/>
        <v>0</v>
      </c>
      <c r="V65" s="574">
        <f t="shared" si="62"/>
        <v>0</v>
      </c>
      <c r="W65" s="574">
        <f t="shared" si="62"/>
        <v>0</v>
      </c>
      <c r="X65" s="574">
        <f t="shared" si="62"/>
        <v>0</v>
      </c>
      <c r="Y65" s="574">
        <f t="shared" si="62"/>
        <v>0</v>
      </c>
      <c r="Z65" s="574">
        <f t="shared" si="62"/>
        <v>0</v>
      </c>
      <c r="AA65" s="574">
        <f t="shared" si="62"/>
        <v>0</v>
      </c>
      <c r="AB65" s="575">
        <f t="shared" si="62"/>
        <v>0</v>
      </c>
      <c r="AC65" s="595">
        <f>'List of equipment'!$Q$35</f>
        <v>1</v>
      </c>
      <c r="AD65" s="595" t="str">
        <f t="shared" si="56"/>
        <v>True</v>
      </c>
    </row>
    <row r="66" spans="1:30" s="25" customFormat="1">
      <c r="A66" s="331"/>
      <c r="B66" s="453"/>
      <c r="C66" s="498" t="str">
        <f t="shared" si="59"/>
        <v>Check-up- Internal Medicine</v>
      </c>
      <c r="D66" s="314"/>
      <c r="E66" s="357">
        <f t="shared" si="50"/>
        <v>0</v>
      </c>
      <c r="F66" s="51">
        <f t="shared" ref="F66:G66" si="63">F234</f>
        <v>0</v>
      </c>
      <c r="G66" s="507">
        <f t="shared" si="63"/>
        <v>0</v>
      </c>
      <c r="H66" s="456">
        <f t="shared" si="48"/>
        <v>0</v>
      </c>
      <c r="I66" s="456">
        <f t="shared" si="48"/>
        <v>0</v>
      </c>
      <c r="J66" s="456">
        <f t="shared" si="48"/>
        <v>0</v>
      </c>
      <c r="K66" s="456">
        <f t="shared" si="48"/>
        <v>0</v>
      </c>
      <c r="L66" s="456">
        <f t="shared" si="48"/>
        <v>0</v>
      </c>
      <c r="M66" s="576">
        <f t="shared" si="48"/>
        <v>0</v>
      </c>
      <c r="N66" s="357">
        <f t="shared" si="52"/>
        <v>0</v>
      </c>
      <c r="O66" s="521">
        <f t="shared" si="61"/>
        <v>0</v>
      </c>
      <c r="P66" s="537">
        <f t="shared" si="54"/>
        <v>0</v>
      </c>
      <c r="Q66" s="574">
        <f t="shared" ref="Q66:AB66" si="64">$P66*Q234</f>
        <v>0</v>
      </c>
      <c r="R66" s="574">
        <f t="shared" si="64"/>
        <v>0</v>
      </c>
      <c r="S66" s="574">
        <f t="shared" si="64"/>
        <v>0</v>
      </c>
      <c r="T66" s="574">
        <f t="shared" si="64"/>
        <v>0</v>
      </c>
      <c r="U66" s="574">
        <f t="shared" si="64"/>
        <v>0</v>
      </c>
      <c r="V66" s="574">
        <f t="shared" si="64"/>
        <v>0</v>
      </c>
      <c r="W66" s="574">
        <f t="shared" si="64"/>
        <v>0</v>
      </c>
      <c r="X66" s="574">
        <f t="shared" si="64"/>
        <v>0</v>
      </c>
      <c r="Y66" s="574">
        <f t="shared" si="64"/>
        <v>0</v>
      </c>
      <c r="Z66" s="574">
        <f t="shared" si="64"/>
        <v>0</v>
      </c>
      <c r="AA66" s="574">
        <f t="shared" si="64"/>
        <v>0</v>
      </c>
      <c r="AB66" s="575">
        <f t="shared" si="64"/>
        <v>0</v>
      </c>
      <c r="AC66" s="595"/>
      <c r="AD66" s="595"/>
    </row>
    <row r="67" spans="1:30" s="25" customFormat="1">
      <c r="A67" s="331"/>
      <c r="B67" s="453"/>
      <c r="C67" s="47" t="str">
        <f t="shared" si="59"/>
        <v>Vision chart</v>
      </c>
      <c r="D67" s="314"/>
      <c r="E67" s="357">
        <f t="shared" si="50"/>
        <v>25</v>
      </c>
      <c r="F67" s="51">
        <f>F235</f>
        <v>1</v>
      </c>
      <c r="G67" s="507">
        <f t="shared" ref="G67" si="65">G235</f>
        <v>25</v>
      </c>
      <c r="H67" s="456">
        <f t="shared" si="48"/>
        <v>0</v>
      </c>
      <c r="I67" s="456">
        <f t="shared" si="48"/>
        <v>0</v>
      </c>
      <c r="J67" s="456">
        <f t="shared" si="48"/>
        <v>25</v>
      </c>
      <c r="K67" s="456">
        <f t="shared" si="48"/>
        <v>0</v>
      </c>
      <c r="L67" s="456">
        <f t="shared" si="48"/>
        <v>0</v>
      </c>
      <c r="M67" s="576">
        <f t="shared" si="48"/>
        <v>0</v>
      </c>
      <c r="N67" s="357">
        <f t="shared" si="52"/>
        <v>0</v>
      </c>
      <c r="O67" s="521">
        <f t="shared" si="61"/>
        <v>0</v>
      </c>
      <c r="P67" s="537">
        <f t="shared" si="54"/>
        <v>25</v>
      </c>
      <c r="Q67" s="574">
        <f t="shared" ref="Q67:AB67" si="66">$P67*Q235</f>
        <v>0</v>
      </c>
      <c r="R67" s="574">
        <f t="shared" si="66"/>
        <v>0</v>
      </c>
      <c r="S67" s="574">
        <f t="shared" si="66"/>
        <v>0</v>
      </c>
      <c r="T67" s="574">
        <f t="shared" si="66"/>
        <v>0</v>
      </c>
      <c r="U67" s="574">
        <f t="shared" si="66"/>
        <v>0</v>
      </c>
      <c r="V67" s="574">
        <f t="shared" si="66"/>
        <v>0</v>
      </c>
      <c r="W67" s="574">
        <f t="shared" si="66"/>
        <v>0</v>
      </c>
      <c r="X67" s="574">
        <f t="shared" si="66"/>
        <v>0</v>
      </c>
      <c r="Y67" s="574">
        <f t="shared" si="66"/>
        <v>0</v>
      </c>
      <c r="Z67" s="574">
        <f t="shared" si="66"/>
        <v>0</v>
      </c>
      <c r="AA67" s="574">
        <f t="shared" si="66"/>
        <v>0</v>
      </c>
      <c r="AB67" s="575">
        <f t="shared" si="66"/>
        <v>0</v>
      </c>
      <c r="AC67" s="595"/>
      <c r="AD67" s="595"/>
    </row>
    <row r="68" spans="1:30" s="25" customFormat="1">
      <c r="A68" s="331"/>
      <c r="B68" s="453"/>
      <c r="C68" s="47" t="str">
        <f t="shared" si="59"/>
        <v xml:space="preserve">Knee jerk hammer </v>
      </c>
      <c r="D68" s="314"/>
      <c r="E68" s="357">
        <f t="shared" si="50"/>
        <v>20</v>
      </c>
      <c r="F68" s="51">
        <f t="shared" ref="F68:G68" si="67">F236</f>
        <v>1</v>
      </c>
      <c r="G68" s="507">
        <f t="shared" si="67"/>
        <v>20</v>
      </c>
      <c r="H68" s="456">
        <f t="shared" si="48"/>
        <v>0</v>
      </c>
      <c r="I68" s="456">
        <f t="shared" si="48"/>
        <v>0</v>
      </c>
      <c r="J68" s="456">
        <f t="shared" si="48"/>
        <v>20</v>
      </c>
      <c r="K68" s="456">
        <f t="shared" si="48"/>
        <v>0</v>
      </c>
      <c r="L68" s="456">
        <f t="shared" si="48"/>
        <v>0</v>
      </c>
      <c r="M68" s="576">
        <f t="shared" si="48"/>
        <v>0</v>
      </c>
      <c r="N68" s="357">
        <f t="shared" si="52"/>
        <v>0</v>
      </c>
      <c r="O68" s="521">
        <f t="shared" si="61"/>
        <v>0</v>
      </c>
      <c r="P68" s="537">
        <f t="shared" si="54"/>
        <v>20</v>
      </c>
      <c r="Q68" s="574">
        <f t="shared" ref="Q68:AB68" si="68">$P68*Q236</f>
        <v>0</v>
      </c>
      <c r="R68" s="574">
        <f t="shared" si="68"/>
        <v>0</v>
      </c>
      <c r="S68" s="574">
        <f t="shared" si="68"/>
        <v>0</v>
      </c>
      <c r="T68" s="574">
        <f t="shared" si="68"/>
        <v>0</v>
      </c>
      <c r="U68" s="574">
        <f t="shared" si="68"/>
        <v>0</v>
      </c>
      <c r="V68" s="574">
        <f t="shared" si="68"/>
        <v>0</v>
      </c>
      <c r="W68" s="574">
        <f t="shared" si="68"/>
        <v>0</v>
      </c>
      <c r="X68" s="574">
        <f t="shared" si="68"/>
        <v>0</v>
      </c>
      <c r="Y68" s="574">
        <f t="shared" si="68"/>
        <v>0</v>
      </c>
      <c r="Z68" s="574">
        <f t="shared" si="68"/>
        <v>0</v>
      </c>
      <c r="AA68" s="574">
        <f t="shared" si="68"/>
        <v>0</v>
      </c>
      <c r="AB68" s="575">
        <f t="shared" si="68"/>
        <v>0</v>
      </c>
      <c r="AC68" s="595"/>
      <c r="AD68" s="595"/>
    </row>
    <row r="69" spans="1:30" s="25" customFormat="1">
      <c r="A69" s="331"/>
      <c r="B69" s="453"/>
      <c r="C69" s="47" t="str">
        <f t="shared" si="59"/>
        <v xml:space="preserve">Tongue depressor </v>
      </c>
      <c r="D69" s="314"/>
      <c r="E69" s="357">
        <f t="shared" si="50"/>
        <v>10</v>
      </c>
      <c r="F69" s="51">
        <f t="shared" ref="F69:G69" si="69">F237</f>
        <v>1</v>
      </c>
      <c r="G69" s="507">
        <f t="shared" si="69"/>
        <v>10</v>
      </c>
      <c r="H69" s="456">
        <f t="shared" si="48"/>
        <v>0</v>
      </c>
      <c r="I69" s="456">
        <f t="shared" si="48"/>
        <v>0</v>
      </c>
      <c r="J69" s="456">
        <f t="shared" si="48"/>
        <v>10</v>
      </c>
      <c r="K69" s="456">
        <f t="shared" si="48"/>
        <v>0</v>
      </c>
      <c r="L69" s="456">
        <f t="shared" si="48"/>
        <v>0</v>
      </c>
      <c r="M69" s="576">
        <f t="shared" si="48"/>
        <v>0</v>
      </c>
      <c r="N69" s="357">
        <f t="shared" si="52"/>
        <v>0</v>
      </c>
      <c r="O69" s="521">
        <f t="shared" si="61"/>
        <v>0</v>
      </c>
      <c r="P69" s="537">
        <f t="shared" si="54"/>
        <v>10</v>
      </c>
      <c r="Q69" s="574">
        <f t="shared" ref="Q69:AB69" si="70">$P69*Q237</f>
        <v>0</v>
      </c>
      <c r="R69" s="574">
        <f t="shared" si="70"/>
        <v>0</v>
      </c>
      <c r="S69" s="574">
        <f t="shared" si="70"/>
        <v>0</v>
      </c>
      <c r="T69" s="574">
        <f t="shared" si="70"/>
        <v>0</v>
      </c>
      <c r="U69" s="574">
        <f t="shared" si="70"/>
        <v>0</v>
      </c>
      <c r="V69" s="574">
        <f t="shared" si="70"/>
        <v>0</v>
      </c>
      <c r="W69" s="574">
        <f t="shared" si="70"/>
        <v>0</v>
      </c>
      <c r="X69" s="574">
        <f t="shared" si="70"/>
        <v>0</v>
      </c>
      <c r="Y69" s="574">
        <f t="shared" si="70"/>
        <v>0</v>
      </c>
      <c r="Z69" s="574">
        <f t="shared" si="70"/>
        <v>0</v>
      </c>
      <c r="AA69" s="574">
        <f t="shared" si="70"/>
        <v>0</v>
      </c>
      <c r="AB69" s="575">
        <f t="shared" si="70"/>
        <v>0</v>
      </c>
      <c r="AC69" s="595"/>
      <c r="AD69" s="595"/>
    </row>
    <row r="70" spans="1:30" s="25" customFormat="1">
      <c r="A70" s="331"/>
      <c r="B70" s="453"/>
      <c r="C70" s="47" t="str">
        <f t="shared" si="59"/>
        <v xml:space="preserve">Tool box </v>
      </c>
      <c r="D70" s="314"/>
      <c r="E70" s="357">
        <f t="shared" si="50"/>
        <v>10</v>
      </c>
      <c r="F70" s="51">
        <f t="shared" ref="F70:G70" si="71">F238</f>
        <v>1</v>
      </c>
      <c r="G70" s="507">
        <f t="shared" si="71"/>
        <v>10</v>
      </c>
      <c r="H70" s="456">
        <f t="shared" si="48"/>
        <v>0</v>
      </c>
      <c r="I70" s="456">
        <f t="shared" si="48"/>
        <v>0</v>
      </c>
      <c r="J70" s="456">
        <f t="shared" si="48"/>
        <v>10</v>
      </c>
      <c r="K70" s="456">
        <f t="shared" si="48"/>
        <v>0</v>
      </c>
      <c r="L70" s="456">
        <f t="shared" si="48"/>
        <v>0</v>
      </c>
      <c r="M70" s="576">
        <f t="shared" si="48"/>
        <v>0</v>
      </c>
      <c r="N70" s="357">
        <f t="shared" si="52"/>
        <v>0</v>
      </c>
      <c r="O70" s="521">
        <f t="shared" si="61"/>
        <v>0</v>
      </c>
      <c r="P70" s="537">
        <f t="shared" si="54"/>
        <v>10</v>
      </c>
      <c r="Q70" s="574">
        <f t="shared" ref="Q70:AB70" si="72">$P70*Q238</f>
        <v>0</v>
      </c>
      <c r="R70" s="574">
        <f t="shared" si="72"/>
        <v>0</v>
      </c>
      <c r="S70" s="574">
        <f t="shared" si="72"/>
        <v>0</v>
      </c>
      <c r="T70" s="574">
        <f t="shared" si="72"/>
        <v>0</v>
      </c>
      <c r="U70" s="574">
        <f t="shared" si="72"/>
        <v>0</v>
      </c>
      <c r="V70" s="574">
        <f t="shared" si="72"/>
        <v>0</v>
      </c>
      <c r="W70" s="574">
        <f t="shared" si="72"/>
        <v>0</v>
      </c>
      <c r="X70" s="574">
        <f t="shared" si="72"/>
        <v>0</v>
      </c>
      <c r="Y70" s="574">
        <f t="shared" si="72"/>
        <v>0</v>
      </c>
      <c r="Z70" s="574">
        <f t="shared" si="72"/>
        <v>0</v>
      </c>
      <c r="AA70" s="574">
        <f t="shared" si="72"/>
        <v>0</v>
      </c>
      <c r="AB70" s="575">
        <f t="shared" si="72"/>
        <v>0</v>
      </c>
      <c r="AC70" s="595"/>
      <c r="AD70" s="595"/>
    </row>
    <row r="71" spans="1:30" s="25" customFormat="1">
      <c r="A71" s="331"/>
      <c r="B71" s="453"/>
      <c r="C71" s="47" t="str">
        <f t="shared" si="59"/>
        <v>Clamp dissection</v>
      </c>
      <c r="D71" s="314"/>
      <c r="E71" s="357">
        <f t="shared" si="50"/>
        <v>20</v>
      </c>
      <c r="F71" s="51">
        <f t="shared" ref="F71:G71" si="73">F239</f>
        <v>2</v>
      </c>
      <c r="G71" s="507">
        <f t="shared" si="73"/>
        <v>10</v>
      </c>
      <c r="H71" s="456">
        <f t="shared" si="48"/>
        <v>0</v>
      </c>
      <c r="I71" s="456">
        <f t="shared" si="48"/>
        <v>0</v>
      </c>
      <c r="J71" s="456">
        <f t="shared" si="48"/>
        <v>20</v>
      </c>
      <c r="K71" s="456">
        <f t="shared" si="48"/>
        <v>0</v>
      </c>
      <c r="L71" s="456">
        <f t="shared" si="48"/>
        <v>0</v>
      </c>
      <c r="M71" s="576">
        <f t="shared" si="48"/>
        <v>0</v>
      </c>
      <c r="N71" s="357">
        <f t="shared" si="52"/>
        <v>0</v>
      </c>
      <c r="O71" s="521">
        <f t="shared" si="61"/>
        <v>0</v>
      </c>
      <c r="P71" s="537">
        <f t="shared" si="54"/>
        <v>10</v>
      </c>
      <c r="Q71" s="574">
        <f t="shared" ref="Q71:AB71" si="74">$P71*Q239</f>
        <v>0</v>
      </c>
      <c r="R71" s="574">
        <f t="shared" si="74"/>
        <v>0</v>
      </c>
      <c r="S71" s="574">
        <f t="shared" si="74"/>
        <v>0</v>
      </c>
      <c r="T71" s="574">
        <f t="shared" si="74"/>
        <v>0</v>
      </c>
      <c r="U71" s="574">
        <f t="shared" si="74"/>
        <v>0</v>
      </c>
      <c r="V71" s="574">
        <f t="shared" si="74"/>
        <v>0</v>
      </c>
      <c r="W71" s="574">
        <f t="shared" si="74"/>
        <v>0</v>
      </c>
      <c r="X71" s="574">
        <f t="shared" si="74"/>
        <v>0</v>
      </c>
      <c r="Y71" s="574">
        <f t="shared" si="74"/>
        <v>0</v>
      </c>
      <c r="Z71" s="574">
        <f t="shared" si="74"/>
        <v>0</v>
      </c>
      <c r="AA71" s="574">
        <f t="shared" si="74"/>
        <v>0</v>
      </c>
      <c r="AB71" s="575">
        <f t="shared" si="74"/>
        <v>0</v>
      </c>
      <c r="AC71" s="595"/>
      <c r="AD71" s="595"/>
    </row>
    <row r="72" spans="1:30" s="25" customFormat="1">
      <c r="A72" s="331"/>
      <c r="B72" s="453"/>
      <c r="C72" s="47" t="str">
        <f t="shared" ref="C72:C73" si="75">C240</f>
        <v>Heamostatic forceps</v>
      </c>
      <c r="D72" s="314"/>
      <c r="E72" s="357">
        <f t="shared" si="50"/>
        <v>20</v>
      </c>
      <c r="F72" s="51">
        <f t="shared" ref="F72:G72" si="76">F240</f>
        <v>2</v>
      </c>
      <c r="G72" s="507">
        <f t="shared" si="76"/>
        <v>10</v>
      </c>
      <c r="H72" s="456">
        <f t="shared" ref="H72:M81" si="77">$G72*H240</f>
        <v>0</v>
      </c>
      <c r="I72" s="456">
        <f t="shared" si="77"/>
        <v>0</v>
      </c>
      <c r="J72" s="456">
        <f t="shared" si="77"/>
        <v>20</v>
      </c>
      <c r="K72" s="456">
        <f t="shared" si="77"/>
        <v>0</v>
      </c>
      <c r="L72" s="456">
        <f t="shared" si="77"/>
        <v>0</v>
      </c>
      <c r="M72" s="576">
        <f t="shared" si="77"/>
        <v>0</v>
      </c>
      <c r="N72" s="357">
        <f t="shared" si="52"/>
        <v>0</v>
      </c>
      <c r="O72" s="521">
        <f t="shared" ref="O72:O73" si="78">O240</f>
        <v>0</v>
      </c>
      <c r="P72" s="537">
        <f t="shared" si="54"/>
        <v>10</v>
      </c>
      <c r="Q72" s="574">
        <f t="shared" ref="Q72:AB72" si="79">$P72*Q240</f>
        <v>0</v>
      </c>
      <c r="R72" s="574">
        <f t="shared" si="79"/>
        <v>0</v>
      </c>
      <c r="S72" s="574">
        <f t="shared" si="79"/>
        <v>0</v>
      </c>
      <c r="T72" s="574">
        <f t="shared" si="79"/>
        <v>0</v>
      </c>
      <c r="U72" s="574">
        <f t="shared" si="79"/>
        <v>0</v>
      </c>
      <c r="V72" s="574">
        <f t="shared" si="79"/>
        <v>0</v>
      </c>
      <c r="W72" s="574">
        <f t="shared" si="79"/>
        <v>0</v>
      </c>
      <c r="X72" s="574">
        <f t="shared" si="79"/>
        <v>0</v>
      </c>
      <c r="Y72" s="574">
        <f t="shared" si="79"/>
        <v>0</v>
      </c>
      <c r="Z72" s="574">
        <f t="shared" si="79"/>
        <v>0</v>
      </c>
      <c r="AA72" s="574">
        <f t="shared" si="79"/>
        <v>0</v>
      </c>
      <c r="AB72" s="575">
        <f t="shared" si="79"/>
        <v>0</v>
      </c>
      <c r="AC72" s="595"/>
      <c r="AD72" s="595"/>
    </row>
    <row r="73" spans="1:30" s="25" customFormat="1">
      <c r="A73" s="331"/>
      <c r="B73" s="453"/>
      <c r="C73" s="47" t="str">
        <f t="shared" si="75"/>
        <v>Medical tongs</v>
      </c>
      <c r="D73" s="314"/>
      <c r="E73" s="357">
        <f t="shared" si="50"/>
        <v>10</v>
      </c>
      <c r="F73" s="51">
        <f t="shared" ref="F73:G73" si="80">F241</f>
        <v>1</v>
      </c>
      <c r="G73" s="507">
        <f t="shared" si="80"/>
        <v>10</v>
      </c>
      <c r="H73" s="456">
        <f t="shared" si="77"/>
        <v>0</v>
      </c>
      <c r="I73" s="456">
        <f t="shared" si="77"/>
        <v>0</v>
      </c>
      <c r="J73" s="456">
        <f t="shared" si="77"/>
        <v>10</v>
      </c>
      <c r="K73" s="456">
        <f t="shared" si="77"/>
        <v>0</v>
      </c>
      <c r="L73" s="456">
        <f t="shared" si="77"/>
        <v>0</v>
      </c>
      <c r="M73" s="576">
        <f t="shared" si="77"/>
        <v>0</v>
      </c>
      <c r="N73" s="357">
        <f t="shared" si="52"/>
        <v>0</v>
      </c>
      <c r="O73" s="521">
        <f t="shared" si="78"/>
        <v>0</v>
      </c>
      <c r="P73" s="537">
        <f t="shared" si="54"/>
        <v>10</v>
      </c>
      <c r="Q73" s="574">
        <f t="shared" ref="Q73:AB73" si="81">$P73*Q241</f>
        <v>0</v>
      </c>
      <c r="R73" s="574">
        <f t="shared" si="81"/>
        <v>0</v>
      </c>
      <c r="S73" s="574">
        <f t="shared" si="81"/>
        <v>0</v>
      </c>
      <c r="T73" s="574">
        <f t="shared" si="81"/>
        <v>0</v>
      </c>
      <c r="U73" s="574">
        <f t="shared" si="81"/>
        <v>0</v>
      </c>
      <c r="V73" s="574">
        <f t="shared" si="81"/>
        <v>0</v>
      </c>
      <c r="W73" s="574">
        <f t="shared" si="81"/>
        <v>0</v>
      </c>
      <c r="X73" s="574">
        <f t="shared" si="81"/>
        <v>0</v>
      </c>
      <c r="Y73" s="574">
        <f t="shared" si="81"/>
        <v>0</v>
      </c>
      <c r="Z73" s="574">
        <f t="shared" si="81"/>
        <v>0</v>
      </c>
      <c r="AA73" s="574">
        <f t="shared" si="81"/>
        <v>0</v>
      </c>
      <c r="AB73" s="575">
        <f t="shared" si="81"/>
        <v>0</v>
      </c>
      <c r="AC73" s="595"/>
      <c r="AD73" s="595"/>
    </row>
    <row r="74" spans="1:30" s="25" customFormat="1">
      <c r="A74" s="331"/>
      <c r="B74" s="453"/>
      <c r="C74" s="47" t="str">
        <f t="shared" ref="C74:C75" si="82">C242</f>
        <v>Hot&amp;Cold Pack</v>
      </c>
      <c r="D74" s="314"/>
      <c r="E74" s="357">
        <f t="shared" si="50"/>
        <v>60</v>
      </c>
      <c r="F74" s="51">
        <f t="shared" ref="F74:G74" si="83">F242</f>
        <v>2</v>
      </c>
      <c r="G74" s="507">
        <f t="shared" si="83"/>
        <v>30</v>
      </c>
      <c r="H74" s="456">
        <f t="shared" si="77"/>
        <v>0</v>
      </c>
      <c r="I74" s="456">
        <f t="shared" si="77"/>
        <v>0</v>
      </c>
      <c r="J74" s="456">
        <f t="shared" si="77"/>
        <v>60</v>
      </c>
      <c r="K74" s="456">
        <f t="shared" si="77"/>
        <v>0</v>
      </c>
      <c r="L74" s="456">
        <f t="shared" si="77"/>
        <v>0</v>
      </c>
      <c r="M74" s="576">
        <f t="shared" si="77"/>
        <v>0</v>
      </c>
      <c r="N74" s="357">
        <f t="shared" si="52"/>
        <v>0</v>
      </c>
      <c r="O74" s="521">
        <f t="shared" ref="O74:O75" si="84">O242</f>
        <v>0</v>
      </c>
      <c r="P74" s="537">
        <f t="shared" si="54"/>
        <v>30</v>
      </c>
      <c r="Q74" s="574">
        <f t="shared" ref="Q74:AB74" si="85">$P74*Q242</f>
        <v>0</v>
      </c>
      <c r="R74" s="574">
        <f t="shared" si="85"/>
        <v>0</v>
      </c>
      <c r="S74" s="574">
        <f t="shared" si="85"/>
        <v>0</v>
      </c>
      <c r="T74" s="574">
        <f t="shared" si="85"/>
        <v>0</v>
      </c>
      <c r="U74" s="574">
        <f t="shared" si="85"/>
        <v>0</v>
      </c>
      <c r="V74" s="574">
        <f t="shared" si="85"/>
        <v>0</v>
      </c>
      <c r="W74" s="574">
        <f t="shared" si="85"/>
        <v>0</v>
      </c>
      <c r="X74" s="574">
        <f t="shared" si="85"/>
        <v>0</v>
      </c>
      <c r="Y74" s="574">
        <f t="shared" si="85"/>
        <v>0</v>
      </c>
      <c r="Z74" s="574">
        <f t="shared" si="85"/>
        <v>0</v>
      </c>
      <c r="AA74" s="574">
        <f t="shared" si="85"/>
        <v>0</v>
      </c>
      <c r="AB74" s="575">
        <f t="shared" si="85"/>
        <v>0</v>
      </c>
      <c r="AC74" s="595"/>
      <c r="AD74" s="595"/>
    </row>
    <row r="75" spans="1:30" s="25" customFormat="1">
      <c r="A75" s="331"/>
      <c r="B75" s="453"/>
      <c r="C75" s="47" t="str">
        <f t="shared" si="82"/>
        <v>E.N.T.  head light </v>
      </c>
      <c r="D75" s="314"/>
      <c r="E75" s="357">
        <f t="shared" si="50"/>
        <v>50</v>
      </c>
      <c r="F75" s="51">
        <f t="shared" ref="F75:G75" si="86">F243</f>
        <v>1</v>
      </c>
      <c r="G75" s="507">
        <f t="shared" si="86"/>
        <v>50</v>
      </c>
      <c r="H75" s="456">
        <f t="shared" si="77"/>
        <v>0</v>
      </c>
      <c r="I75" s="456">
        <f t="shared" si="77"/>
        <v>0</v>
      </c>
      <c r="J75" s="456">
        <f t="shared" si="77"/>
        <v>50</v>
      </c>
      <c r="K75" s="456">
        <f t="shared" si="77"/>
        <v>0</v>
      </c>
      <c r="L75" s="456">
        <f t="shared" si="77"/>
        <v>0</v>
      </c>
      <c r="M75" s="576">
        <f t="shared" si="77"/>
        <v>0</v>
      </c>
      <c r="N75" s="357">
        <f t="shared" si="52"/>
        <v>0</v>
      </c>
      <c r="O75" s="521">
        <f t="shared" si="84"/>
        <v>0</v>
      </c>
      <c r="P75" s="537">
        <f t="shared" si="54"/>
        <v>50</v>
      </c>
      <c r="Q75" s="574">
        <f t="shared" ref="Q75:AB75" si="87">$P75*Q243</f>
        <v>0</v>
      </c>
      <c r="R75" s="574">
        <f t="shared" si="87"/>
        <v>0</v>
      </c>
      <c r="S75" s="574">
        <f t="shared" si="87"/>
        <v>0</v>
      </c>
      <c r="T75" s="574">
        <f t="shared" si="87"/>
        <v>0</v>
      </c>
      <c r="U75" s="574">
        <f t="shared" si="87"/>
        <v>0</v>
      </c>
      <c r="V75" s="574">
        <f t="shared" si="87"/>
        <v>0</v>
      </c>
      <c r="W75" s="574">
        <f t="shared" si="87"/>
        <v>0</v>
      </c>
      <c r="X75" s="574">
        <f t="shared" si="87"/>
        <v>0</v>
      </c>
      <c r="Y75" s="574">
        <f t="shared" si="87"/>
        <v>0</v>
      </c>
      <c r="Z75" s="574">
        <f t="shared" si="87"/>
        <v>0</v>
      </c>
      <c r="AA75" s="574">
        <f t="shared" si="87"/>
        <v>0</v>
      </c>
      <c r="AB75" s="575">
        <f t="shared" si="87"/>
        <v>0</v>
      </c>
      <c r="AC75" s="595"/>
      <c r="AD75" s="595"/>
    </row>
    <row r="76" spans="1:30" s="25" customFormat="1">
      <c r="A76" s="331"/>
      <c r="B76" s="453"/>
      <c r="C76" s="47" t="str">
        <f t="shared" ref="C76:C95" si="88">C244</f>
        <v>Insulin syringe 1mk 40/80 DV</v>
      </c>
      <c r="D76" s="314"/>
      <c r="E76" s="357">
        <f t="shared" si="50"/>
        <v>3250</v>
      </c>
      <c r="F76" s="51">
        <f t="shared" ref="F76:G76" si="89">F244</f>
        <v>1</v>
      </c>
      <c r="G76" s="507">
        <f t="shared" si="89"/>
        <v>3250</v>
      </c>
      <c r="H76" s="456">
        <f t="shared" si="77"/>
        <v>0</v>
      </c>
      <c r="I76" s="456">
        <f t="shared" si="77"/>
        <v>0</v>
      </c>
      <c r="J76" s="456">
        <f t="shared" si="77"/>
        <v>3250</v>
      </c>
      <c r="K76" s="456">
        <f t="shared" si="77"/>
        <v>0</v>
      </c>
      <c r="L76" s="456">
        <f t="shared" si="77"/>
        <v>0</v>
      </c>
      <c r="M76" s="576">
        <f t="shared" si="77"/>
        <v>0</v>
      </c>
      <c r="N76" s="357">
        <f t="shared" si="52"/>
        <v>0</v>
      </c>
      <c r="O76" s="521">
        <f t="shared" ref="O76:O95" si="90">O244</f>
        <v>0</v>
      </c>
      <c r="P76" s="537">
        <f t="shared" si="54"/>
        <v>3250</v>
      </c>
      <c r="Q76" s="574">
        <f t="shared" ref="Q76:AB76" si="91">$P76*Q244</f>
        <v>0</v>
      </c>
      <c r="R76" s="574">
        <f t="shared" si="91"/>
        <v>0</v>
      </c>
      <c r="S76" s="574">
        <f t="shared" si="91"/>
        <v>0</v>
      </c>
      <c r="T76" s="574">
        <f t="shared" si="91"/>
        <v>0</v>
      </c>
      <c r="U76" s="574">
        <f t="shared" si="91"/>
        <v>0</v>
      </c>
      <c r="V76" s="574">
        <f t="shared" si="91"/>
        <v>0</v>
      </c>
      <c r="W76" s="574">
        <f t="shared" si="91"/>
        <v>0</v>
      </c>
      <c r="X76" s="574">
        <f t="shared" si="91"/>
        <v>0</v>
      </c>
      <c r="Y76" s="574">
        <f t="shared" si="91"/>
        <v>0</v>
      </c>
      <c r="Z76" s="574">
        <f t="shared" si="91"/>
        <v>0</v>
      </c>
      <c r="AA76" s="574">
        <f t="shared" si="91"/>
        <v>0</v>
      </c>
      <c r="AB76" s="575">
        <f t="shared" si="91"/>
        <v>0</v>
      </c>
      <c r="AC76" s="595"/>
      <c r="AD76" s="595"/>
    </row>
    <row r="77" spans="1:30" s="25" customFormat="1">
      <c r="A77" s="331"/>
      <c r="B77" s="453"/>
      <c r="C77" s="498" t="str">
        <f t="shared" si="88"/>
        <v>Check-up- Surgery</v>
      </c>
      <c r="D77" s="314"/>
      <c r="E77" s="357">
        <f t="shared" si="50"/>
        <v>0</v>
      </c>
      <c r="F77" s="51">
        <f t="shared" ref="F77:G77" si="92">F245</f>
        <v>0</v>
      </c>
      <c r="G77" s="507">
        <f t="shared" si="92"/>
        <v>0</v>
      </c>
      <c r="H77" s="456">
        <f t="shared" si="77"/>
        <v>0</v>
      </c>
      <c r="I77" s="456">
        <f t="shared" si="77"/>
        <v>0</v>
      </c>
      <c r="J77" s="456">
        <f t="shared" si="77"/>
        <v>0</v>
      </c>
      <c r="K77" s="456">
        <f t="shared" si="77"/>
        <v>0</v>
      </c>
      <c r="L77" s="456">
        <f t="shared" si="77"/>
        <v>0</v>
      </c>
      <c r="M77" s="576">
        <f t="shared" si="77"/>
        <v>0</v>
      </c>
      <c r="N77" s="357">
        <f t="shared" si="52"/>
        <v>0</v>
      </c>
      <c r="O77" s="521">
        <f t="shared" si="90"/>
        <v>0</v>
      </c>
      <c r="P77" s="537">
        <f t="shared" si="54"/>
        <v>0</v>
      </c>
      <c r="Q77" s="574">
        <f t="shared" ref="Q77:AB77" si="93">$P77*Q245</f>
        <v>0</v>
      </c>
      <c r="R77" s="574">
        <f t="shared" si="93"/>
        <v>0</v>
      </c>
      <c r="S77" s="574">
        <f t="shared" si="93"/>
        <v>0</v>
      </c>
      <c r="T77" s="574">
        <f t="shared" si="93"/>
        <v>0</v>
      </c>
      <c r="U77" s="574">
        <f t="shared" si="93"/>
        <v>0</v>
      </c>
      <c r="V77" s="574">
        <f t="shared" si="93"/>
        <v>0</v>
      </c>
      <c r="W77" s="574">
        <f t="shared" si="93"/>
        <v>0</v>
      </c>
      <c r="X77" s="574">
        <f t="shared" si="93"/>
        <v>0</v>
      </c>
      <c r="Y77" s="574">
        <f t="shared" si="93"/>
        <v>0</v>
      </c>
      <c r="Z77" s="574">
        <f t="shared" si="93"/>
        <v>0</v>
      </c>
      <c r="AA77" s="574">
        <f t="shared" si="93"/>
        <v>0</v>
      </c>
      <c r="AB77" s="575">
        <f t="shared" si="93"/>
        <v>0</v>
      </c>
      <c r="AC77" s="595"/>
      <c r="AD77" s="595"/>
    </row>
    <row r="78" spans="1:30" s="25" customFormat="1">
      <c r="A78" s="331"/>
      <c r="B78" s="453"/>
      <c r="C78" s="47" t="str">
        <f t="shared" si="88"/>
        <v>Minor surgical operation table</v>
      </c>
      <c r="D78" s="314"/>
      <c r="E78" s="357">
        <f t="shared" si="50"/>
        <v>200</v>
      </c>
      <c r="F78" s="51">
        <f t="shared" ref="F78:G78" si="94">F246</f>
        <v>1</v>
      </c>
      <c r="G78" s="507">
        <f t="shared" si="94"/>
        <v>200</v>
      </c>
      <c r="H78" s="456">
        <f t="shared" si="77"/>
        <v>0</v>
      </c>
      <c r="I78" s="456">
        <f t="shared" si="77"/>
        <v>0</v>
      </c>
      <c r="J78" s="456">
        <f t="shared" si="77"/>
        <v>200</v>
      </c>
      <c r="K78" s="456">
        <f t="shared" si="77"/>
        <v>0</v>
      </c>
      <c r="L78" s="456">
        <f t="shared" si="77"/>
        <v>0</v>
      </c>
      <c r="M78" s="576">
        <f t="shared" si="77"/>
        <v>0</v>
      </c>
      <c r="N78" s="357">
        <f t="shared" si="52"/>
        <v>0</v>
      </c>
      <c r="O78" s="521">
        <f t="shared" si="90"/>
        <v>0</v>
      </c>
      <c r="P78" s="537">
        <f t="shared" si="54"/>
        <v>200</v>
      </c>
      <c r="Q78" s="574">
        <f t="shared" ref="Q78:AB78" si="95">$P78*Q246</f>
        <v>0</v>
      </c>
      <c r="R78" s="574">
        <f t="shared" si="95"/>
        <v>0</v>
      </c>
      <c r="S78" s="574">
        <f t="shared" si="95"/>
        <v>0</v>
      </c>
      <c r="T78" s="574">
        <f t="shared" si="95"/>
        <v>0</v>
      </c>
      <c r="U78" s="574">
        <f t="shared" si="95"/>
        <v>0</v>
      </c>
      <c r="V78" s="574">
        <f t="shared" si="95"/>
        <v>0</v>
      </c>
      <c r="W78" s="574">
        <f t="shared" si="95"/>
        <v>0</v>
      </c>
      <c r="X78" s="574">
        <f t="shared" si="95"/>
        <v>0</v>
      </c>
      <c r="Y78" s="574">
        <f t="shared" si="95"/>
        <v>0</v>
      </c>
      <c r="Z78" s="574">
        <f t="shared" si="95"/>
        <v>0</v>
      </c>
      <c r="AA78" s="574">
        <f t="shared" si="95"/>
        <v>0</v>
      </c>
      <c r="AB78" s="575">
        <f t="shared" si="95"/>
        <v>0</v>
      </c>
      <c r="AC78" s="595"/>
      <c r="AD78" s="595"/>
    </row>
    <row r="79" spans="1:30" s="25" customFormat="1">
      <c r="A79" s="331"/>
      <c r="B79" s="453"/>
      <c r="C79" s="47" t="str">
        <f t="shared" si="88"/>
        <v>Bandage Scissor</v>
      </c>
      <c r="D79" s="314"/>
      <c r="E79" s="357">
        <f t="shared" si="50"/>
        <v>20</v>
      </c>
      <c r="F79" s="51">
        <f t="shared" ref="F79:G79" si="96">F247</f>
        <v>1</v>
      </c>
      <c r="G79" s="507">
        <f t="shared" si="96"/>
        <v>20</v>
      </c>
      <c r="H79" s="456">
        <f t="shared" si="77"/>
        <v>0</v>
      </c>
      <c r="I79" s="456">
        <f t="shared" si="77"/>
        <v>0</v>
      </c>
      <c r="J79" s="456">
        <f t="shared" si="77"/>
        <v>20</v>
      </c>
      <c r="K79" s="456">
        <f t="shared" si="77"/>
        <v>0</v>
      </c>
      <c r="L79" s="456">
        <f t="shared" si="77"/>
        <v>0</v>
      </c>
      <c r="M79" s="576">
        <f t="shared" si="77"/>
        <v>0</v>
      </c>
      <c r="N79" s="357">
        <f t="shared" si="52"/>
        <v>0</v>
      </c>
      <c r="O79" s="521">
        <f t="shared" si="90"/>
        <v>0</v>
      </c>
      <c r="P79" s="537">
        <f t="shared" si="54"/>
        <v>20</v>
      </c>
      <c r="Q79" s="574">
        <f t="shared" ref="Q79:AB79" si="97">$P79*Q247</f>
        <v>0</v>
      </c>
      <c r="R79" s="574">
        <f t="shared" si="97"/>
        <v>0</v>
      </c>
      <c r="S79" s="574">
        <f t="shared" si="97"/>
        <v>0</v>
      </c>
      <c r="T79" s="574">
        <f t="shared" si="97"/>
        <v>0</v>
      </c>
      <c r="U79" s="574">
        <f t="shared" si="97"/>
        <v>0</v>
      </c>
      <c r="V79" s="574">
        <f t="shared" si="97"/>
        <v>0</v>
      </c>
      <c r="W79" s="574">
        <f t="shared" si="97"/>
        <v>0</v>
      </c>
      <c r="X79" s="574">
        <f t="shared" si="97"/>
        <v>0</v>
      </c>
      <c r="Y79" s="574">
        <f t="shared" si="97"/>
        <v>0</v>
      </c>
      <c r="Z79" s="574">
        <f t="shared" si="97"/>
        <v>0</v>
      </c>
      <c r="AA79" s="574">
        <f t="shared" si="97"/>
        <v>0</v>
      </c>
      <c r="AB79" s="575">
        <f t="shared" si="97"/>
        <v>0</v>
      </c>
      <c r="AC79" s="595"/>
      <c r="AD79" s="595"/>
    </row>
    <row r="80" spans="1:30" s="25" customFormat="1">
      <c r="A80" s="331"/>
      <c r="B80" s="453"/>
      <c r="C80" s="47" t="str">
        <f t="shared" si="88"/>
        <v>Cast-plaster cutter</v>
      </c>
      <c r="D80" s="314"/>
      <c r="E80" s="357">
        <f t="shared" si="50"/>
        <v>25</v>
      </c>
      <c r="F80" s="51">
        <f t="shared" ref="F80:G80" si="98">F248</f>
        <v>1</v>
      </c>
      <c r="G80" s="507">
        <f t="shared" si="98"/>
        <v>25</v>
      </c>
      <c r="H80" s="456">
        <f t="shared" si="77"/>
        <v>0</v>
      </c>
      <c r="I80" s="456">
        <f t="shared" si="77"/>
        <v>0</v>
      </c>
      <c r="J80" s="456">
        <f t="shared" si="77"/>
        <v>25</v>
      </c>
      <c r="K80" s="456">
        <f t="shared" si="77"/>
        <v>0</v>
      </c>
      <c r="L80" s="456">
        <f t="shared" si="77"/>
        <v>0</v>
      </c>
      <c r="M80" s="576">
        <f t="shared" si="77"/>
        <v>0</v>
      </c>
      <c r="N80" s="357">
        <f t="shared" si="52"/>
        <v>0</v>
      </c>
      <c r="O80" s="521">
        <f t="shared" si="90"/>
        <v>0</v>
      </c>
      <c r="P80" s="537">
        <f t="shared" si="54"/>
        <v>25</v>
      </c>
      <c r="Q80" s="574">
        <f t="shared" ref="Q80:AB80" si="99">$P80*Q248</f>
        <v>0</v>
      </c>
      <c r="R80" s="574">
        <f t="shared" si="99"/>
        <v>0</v>
      </c>
      <c r="S80" s="574">
        <f t="shared" si="99"/>
        <v>0</v>
      </c>
      <c r="T80" s="574">
        <f t="shared" si="99"/>
        <v>0</v>
      </c>
      <c r="U80" s="574">
        <f t="shared" si="99"/>
        <v>0</v>
      </c>
      <c r="V80" s="574">
        <f t="shared" si="99"/>
        <v>0</v>
      </c>
      <c r="W80" s="574">
        <f t="shared" si="99"/>
        <v>0</v>
      </c>
      <c r="X80" s="574">
        <f t="shared" si="99"/>
        <v>0</v>
      </c>
      <c r="Y80" s="574">
        <f t="shared" si="99"/>
        <v>0</v>
      </c>
      <c r="Z80" s="574">
        <f t="shared" si="99"/>
        <v>0</v>
      </c>
      <c r="AA80" s="574">
        <f t="shared" si="99"/>
        <v>0</v>
      </c>
      <c r="AB80" s="575">
        <f t="shared" si="99"/>
        <v>0</v>
      </c>
      <c r="AC80" s="595"/>
      <c r="AD80" s="595"/>
    </row>
    <row r="81" spans="1:30" s="25" customFormat="1">
      <c r="A81" s="331"/>
      <c r="B81" s="453"/>
      <c r="C81" s="47" t="str">
        <f t="shared" si="88"/>
        <v>Sterilizer</v>
      </c>
      <c r="D81" s="314"/>
      <c r="E81" s="357">
        <f t="shared" si="50"/>
        <v>3000</v>
      </c>
      <c r="F81" s="51">
        <f t="shared" ref="F81:G81" si="100">F249</f>
        <v>3</v>
      </c>
      <c r="G81" s="507">
        <f t="shared" si="100"/>
        <v>1000</v>
      </c>
      <c r="H81" s="456">
        <f t="shared" si="77"/>
        <v>0</v>
      </c>
      <c r="I81" s="456">
        <f t="shared" si="77"/>
        <v>0</v>
      </c>
      <c r="J81" s="456">
        <f t="shared" si="77"/>
        <v>3000</v>
      </c>
      <c r="K81" s="456">
        <f t="shared" si="77"/>
        <v>0</v>
      </c>
      <c r="L81" s="456">
        <f t="shared" si="77"/>
        <v>0</v>
      </c>
      <c r="M81" s="576">
        <f t="shared" si="77"/>
        <v>0</v>
      </c>
      <c r="N81" s="357">
        <f t="shared" si="52"/>
        <v>0</v>
      </c>
      <c r="O81" s="521">
        <f t="shared" si="90"/>
        <v>0</v>
      </c>
      <c r="P81" s="537">
        <f t="shared" si="54"/>
        <v>1000</v>
      </c>
      <c r="Q81" s="574">
        <f t="shared" ref="Q81:AB81" si="101">$P81*Q249</f>
        <v>0</v>
      </c>
      <c r="R81" s="574">
        <f t="shared" si="101"/>
        <v>0</v>
      </c>
      <c r="S81" s="574">
        <f t="shared" si="101"/>
        <v>0</v>
      </c>
      <c r="T81" s="574">
        <f t="shared" si="101"/>
        <v>0</v>
      </c>
      <c r="U81" s="574">
        <f t="shared" si="101"/>
        <v>0</v>
      </c>
      <c r="V81" s="574">
        <f t="shared" si="101"/>
        <v>0</v>
      </c>
      <c r="W81" s="574">
        <f t="shared" si="101"/>
        <v>0</v>
      </c>
      <c r="X81" s="574">
        <f t="shared" si="101"/>
        <v>0</v>
      </c>
      <c r="Y81" s="574">
        <f t="shared" si="101"/>
        <v>0</v>
      </c>
      <c r="Z81" s="574">
        <f t="shared" si="101"/>
        <v>0</v>
      </c>
      <c r="AA81" s="574">
        <f t="shared" si="101"/>
        <v>0</v>
      </c>
      <c r="AB81" s="575">
        <f t="shared" si="101"/>
        <v>0</v>
      </c>
      <c r="AC81" s="595"/>
      <c r="AD81" s="595"/>
    </row>
    <row r="82" spans="1:30" s="25" customFormat="1">
      <c r="A82" s="331"/>
      <c r="B82" s="453"/>
      <c r="C82" s="47" t="str">
        <f t="shared" si="88"/>
        <v>Emergency tool kits</v>
      </c>
      <c r="D82" s="314"/>
      <c r="E82" s="357">
        <f t="shared" si="50"/>
        <v>300</v>
      </c>
      <c r="F82" s="51">
        <f t="shared" ref="F82:G82" si="102">F250</f>
        <v>1</v>
      </c>
      <c r="G82" s="507">
        <f t="shared" si="102"/>
        <v>300</v>
      </c>
      <c r="H82" s="456">
        <f t="shared" ref="H82:M91" si="103">$G82*H250</f>
        <v>0</v>
      </c>
      <c r="I82" s="456">
        <f t="shared" si="103"/>
        <v>0</v>
      </c>
      <c r="J82" s="456">
        <f t="shared" si="103"/>
        <v>300</v>
      </c>
      <c r="K82" s="456">
        <f t="shared" si="103"/>
        <v>0</v>
      </c>
      <c r="L82" s="456">
        <f t="shared" si="103"/>
        <v>0</v>
      </c>
      <c r="M82" s="576">
        <f t="shared" si="103"/>
        <v>0</v>
      </c>
      <c r="N82" s="357">
        <f t="shared" si="52"/>
        <v>0</v>
      </c>
      <c r="O82" s="521">
        <f t="shared" si="90"/>
        <v>0</v>
      </c>
      <c r="P82" s="537">
        <f t="shared" si="54"/>
        <v>300</v>
      </c>
      <c r="Q82" s="574">
        <f t="shared" ref="Q82:AB82" si="104">$P82*Q250</f>
        <v>0</v>
      </c>
      <c r="R82" s="574">
        <f t="shared" si="104"/>
        <v>0</v>
      </c>
      <c r="S82" s="574">
        <f t="shared" si="104"/>
        <v>0</v>
      </c>
      <c r="T82" s="574">
        <f t="shared" si="104"/>
        <v>0</v>
      </c>
      <c r="U82" s="574">
        <f t="shared" si="104"/>
        <v>0</v>
      </c>
      <c r="V82" s="574">
        <f t="shared" si="104"/>
        <v>0</v>
      </c>
      <c r="W82" s="574">
        <f t="shared" si="104"/>
        <v>0</v>
      </c>
      <c r="X82" s="574">
        <f t="shared" si="104"/>
        <v>0</v>
      </c>
      <c r="Y82" s="574">
        <f t="shared" si="104"/>
        <v>0</v>
      </c>
      <c r="Z82" s="574">
        <f t="shared" si="104"/>
        <v>0</v>
      </c>
      <c r="AA82" s="574">
        <f t="shared" si="104"/>
        <v>0</v>
      </c>
      <c r="AB82" s="575">
        <f t="shared" si="104"/>
        <v>0</v>
      </c>
      <c r="AC82" s="595"/>
      <c r="AD82" s="595"/>
    </row>
    <row r="83" spans="1:30" s="25" customFormat="1">
      <c r="A83" s="331"/>
      <c r="B83" s="453"/>
      <c r="C83" s="498" t="str">
        <f t="shared" si="88"/>
        <v>Check-up- Obstetrics</v>
      </c>
      <c r="D83" s="314"/>
      <c r="E83" s="357">
        <f t="shared" si="50"/>
        <v>0</v>
      </c>
      <c r="F83" s="51">
        <f t="shared" ref="F83:G83" si="105">F251</f>
        <v>0</v>
      </c>
      <c r="G83" s="507">
        <f t="shared" si="105"/>
        <v>0</v>
      </c>
      <c r="H83" s="456">
        <f t="shared" si="103"/>
        <v>0</v>
      </c>
      <c r="I83" s="456">
        <f t="shared" si="103"/>
        <v>0</v>
      </c>
      <c r="J83" s="456">
        <f t="shared" si="103"/>
        <v>0</v>
      </c>
      <c r="K83" s="456">
        <f t="shared" si="103"/>
        <v>0</v>
      </c>
      <c r="L83" s="456">
        <f t="shared" si="103"/>
        <v>0</v>
      </c>
      <c r="M83" s="576">
        <f t="shared" si="103"/>
        <v>0</v>
      </c>
      <c r="N83" s="357">
        <f t="shared" si="52"/>
        <v>0</v>
      </c>
      <c r="O83" s="521">
        <f t="shared" si="90"/>
        <v>0</v>
      </c>
      <c r="P83" s="537">
        <f t="shared" si="54"/>
        <v>0</v>
      </c>
      <c r="Q83" s="574">
        <f t="shared" ref="Q83:AB83" si="106">$P83*Q251</f>
        <v>0</v>
      </c>
      <c r="R83" s="574">
        <f t="shared" si="106"/>
        <v>0</v>
      </c>
      <c r="S83" s="574">
        <f t="shared" si="106"/>
        <v>0</v>
      </c>
      <c r="T83" s="574">
        <f t="shared" si="106"/>
        <v>0</v>
      </c>
      <c r="U83" s="574">
        <f t="shared" si="106"/>
        <v>0</v>
      </c>
      <c r="V83" s="574">
        <f t="shared" si="106"/>
        <v>0</v>
      </c>
      <c r="W83" s="574">
        <f t="shared" si="106"/>
        <v>0</v>
      </c>
      <c r="X83" s="574">
        <f t="shared" si="106"/>
        <v>0</v>
      </c>
      <c r="Y83" s="574">
        <f t="shared" si="106"/>
        <v>0</v>
      </c>
      <c r="Z83" s="574">
        <f t="shared" si="106"/>
        <v>0</v>
      </c>
      <c r="AA83" s="574">
        <f t="shared" si="106"/>
        <v>0</v>
      </c>
      <c r="AB83" s="575">
        <f t="shared" si="106"/>
        <v>0</v>
      </c>
      <c r="AC83" s="595"/>
      <c r="AD83" s="595"/>
    </row>
    <row r="84" spans="1:30" s="25" customFormat="1">
      <c r="A84" s="331"/>
      <c r="B84" s="453"/>
      <c r="C84" s="47" t="str">
        <f t="shared" si="88"/>
        <v>Colposcope</v>
      </c>
      <c r="D84" s="314"/>
      <c r="E84" s="357">
        <f t="shared" si="50"/>
        <v>4000</v>
      </c>
      <c r="F84" s="51">
        <f t="shared" ref="F84:G84" si="107">F252</f>
        <v>1</v>
      </c>
      <c r="G84" s="507">
        <f t="shared" si="107"/>
        <v>4000</v>
      </c>
      <c r="H84" s="456">
        <f t="shared" si="103"/>
        <v>0</v>
      </c>
      <c r="I84" s="456">
        <f t="shared" si="103"/>
        <v>0</v>
      </c>
      <c r="J84" s="456">
        <f t="shared" si="103"/>
        <v>4000</v>
      </c>
      <c r="K84" s="456">
        <f t="shared" si="103"/>
        <v>0</v>
      </c>
      <c r="L84" s="456">
        <f t="shared" si="103"/>
        <v>0</v>
      </c>
      <c r="M84" s="576">
        <f t="shared" si="103"/>
        <v>0</v>
      </c>
      <c r="N84" s="357">
        <f t="shared" si="52"/>
        <v>0</v>
      </c>
      <c r="O84" s="521">
        <f t="shared" si="90"/>
        <v>0</v>
      </c>
      <c r="P84" s="537">
        <f t="shared" si="54"/>
        <v>4000</v>
      </c>
      <c r="Q84" s="574">
        <f t="shared" ref="Q84:AB84" si="108">$P84*Q252</f>
        <v>0</v>
      </c>
      <c r="R84" s="574">
        <f t="shared" si="108"/>
        <v>0</v>
      </c>
      <c r="S84" s="574">
        <f t="shared" si="108"/>
        <v>0</v>
      </c>
      <c r="T84" s="574">
        <f t="shared" si="108"/>
        <v>0</v>
      </c>
      <c r="U84" s="574">
        <f t="shared" si="108"/>
        <v>0</v>
      </c>
      <c r="V84" s="574">
        <f t="shared" si="108"/>
        <v>0</v>
      </c>
      <c r="W84" s="574">
        <f t="shared" si="108"/>
        <v>0</v>
      </c>
      <c r="X84" s="574">
        <f t="shared" si="108"/>
        <v>0</v>
      </c>
      <c r="Y84" s="574">
        <f t="shared" si="108"/>
        <v>0</v>
      </c>
      <c r="Z84" s="574">
        <f t="shared" si="108"/>
        <v>0</v>
      </c>
      <c r="AA84" s="574">
        <f t="shared" si="108"/>
        <v>0</v>
      </c>
      <c r="AB84" s="575">
        <f t="shared" si="108"/>
        <v>0</v>
      </c>
      <c r="AC84" s="595"/>
      <c r="AD84" s="595"/>
    </row>
    <row r="85" spans="1:30" s="25" customFormat="1">
      <c r="A85" s="331"/>
      <c r="B85" s="453"/>
      <c r="C85" s="47" t="str">
        <f t="shared" si="88"/>
        <v>Fetal monitor</v>
      </c>
      <c r="D85" s="314"/>
      <c r="E85" s="357">
        <f t="shared" si="50"/>
        <v>4000</v>
      </c>
      <c r="F85" s="51">
        <f t="shared" ref="F85:G85" si="109">F253</f>
        <v>2</v>
      </c>
      <c r="G85" s="507">
        <f t="shared" si="109"/>
        <v>2000</v>
      </c>
      <c r="H85" s="456">
        <f t="shared" si="103"/>
        <v>0</v>
      </c>
      <c r="I85" s="456">
        <f t="shared" si="103"/>
        <v>0</v>
      </c>
      <c r="J85" s="456">
        <f t="shared" si="103"/>
        <v>4000</v>
      </c>
      <c r="K85" s="456">
        <f t="shared" si="103"/>
        <v>0</v>
      </c>
      <c r="L85" s="456">
        <f t="shared" si="103"/>
        <v>0</v>
      </c>
      <c r="M85" s="576">
        <f t="shared" si="103"/>
        <v>0</v>
      </c>
      <c r="N85" s="357">
        <f t="shared" si="52"/>
        <v>0</v>
      </c>
      <c r="O85" s="521">
        <f t="shared" si="90"/>
        <v>0</v>
      </c>
      <c r="P85" s="537">
        <f t="shared" si="54"/>
        <v>2000</v>
      </c>
      <c r="Q85" s="574">
        <f t="shared" ref="Q85:AB85" si="110">$P85*Q253</f>
        <v>0</v>
      </c>
      <c r="R85" s="574">
        <f t="shared" si="110"/>
        <v>0</v>
      </c>
      <c r="S85" s="574">
        <f t="shared" si="110"/>
        <v>0</v>
      </c>
      <c r="T85" s="574">
        <f t="shared" si="110"/>
        <v>0</v>
      </c>
      <c r="U85" s="574">
        <f t="shared" si="110"/>
        <v>0</v>
      </c>
      <c r="V85" s="574">
        <f t="shared" si="110"/>
        <v>0</v>
      </c>
      <c r="W85" s="574">
        <f t="shared" si="110"/>
        <v>0</v>
      </c>
      <c r="X85" s="574">
        <f t="shared" si="110"/>
        <v>0</v>
      </c>
      <c r="Y85" s="574">
        <f t="shared" si="110"/>
        <v>0</v>
      </c>
      <c r="Z85" s="574">
        <f t="shared" si="110"/>
        <v>0</v>
      </c>
      <c r="AA85" s="574">
        <f t="shared" si="110"/>
        <v>0</v>
      </c>
      <c r="AB85" s="575">
        <f t="shared" si="110"/>
        <v>0</v>
      </c>
      <c r="AC85" s="595"/>
      <c r="AD85" s="595"/>
    </row>
    <row r="86" spans="1:30" s="25" customFormat="1">
      <c r="A86" s="331"/>
      <c r="B86" s="453"/>
      <c r="C86" s="47" t="str">
        <f t="shared" si="88"/>
        <v>Fetal Doppler</v>
      </c>
      <c r="D86" s="314"/>
      <c r="E86" s="357">
        <f t="shared" si="50"/>
        <v>2500</v>
      </c>
      <c r="F86" s="51">
        <f t="shared" ref="F86:G86" si="111">F254</f>
        <v>2</v>
      </c>
      <c r="G86" s="507">
        <f t="shared" si="111"/>
        <v>1250</v>
      </c>
      <c r="H86" s="456">
        <f t="shared" si="103"/>
        <v>0</v>
      </c>
      <c r="I86" s="456">
        <f t="shared" si="103"/>
        <v>0</v>
      </c>
      <c r="J86" s="456">
        <f t="shared" si="103"/>
        <v>2500</v>
      </c>
      <c r="K86" s="456">
        <f t="shared" si="103"/>
        <v>0</v>
      </c>
      <c r="L86" s="456">
        <f t="shared" si="103"/>
        <v>0</v>
      </c>
      <c r="M86" s="576">
        <f t="shared" si="103"/>
        <v>0</v>
      </c>
      <c r="N86" s="357">
        <f t="shared" si="52"/>
        <v>0</v>
      </c>
      <c r="O86" s="521">
        <f t="shared" si="90"/>
        <v>0</v>
      </c>
      <c r="P86" s="537">
        <f t="shared" si="54"/>
        <v>1250</v>
      </c>
      <c r="Q86" s="574">
        <f t="shared" ref="Q86:AB86" si="112">$P86*Q254</f>
        <v>0</v>
      </c>
      <c r="R86" s="574">
        <f t="shared" si="112"/>
        <v>0</v>
      </c>
      <c r="S86" s="574">
        <f t="shared" si="112"/>
        <v>0</v>
      </c>
      <c r="T86" s="574">
        <f t="shared" si="112"/>
        <v>0</v>
      </c>
      <c r="U86" s="574">
        <f t="shared" si="112"/>
        <v>0</v>
      </c>
      <c r="V86" s="574">
        <f t="shared" si="112"/>
        <v>0</v>
      </c>
      <c r="W86" s="574">
        <f t="shared" si="112"/>
        <v>0</v>
      </c>
      <c r="X86" s="574">
        <f t="shared" si="112"/>
        <v>0</v>
      </c>
      <c r="Y86" s="574">
        <f t="shared" si="112"/>
        <v>0</v>
      </c>
      <c r="Z86" s="574">
        <f t="shared" si="112"/>
        <v>0</v>
      </c>
      <c r="AA86" s="574">
        <f t="shared" si="112"/>
        <v>0</v>
      </c>
      <c r="AB86" s="575">
        <f t="shared" si="112"/>
        <v>0</v>
      </c>
      <c r="AC86" s="595"/>
      <c r="AD86" s="595"/>
    </row>
    <row r="87" spans="1:30" s="25" customFormat="1">
      <c r="A87" s="331"/>
      <c r="B87" s="453"/>
      <c r="C87" s="47" t="str">
        <f t="shared" si="88"/>
        <v>Electrosurgical unit</v>
      </c>
      <c r="D87" s="314"/>
      <c r="E87" s="357">
        <f t="shared" si="50"/>
        <v>6500</v>
      </c>
      <c r="F87" s="51">
        <f t="shared" ref="F87:G87" si="113">F255</f>
        <v>1</v>
      </c>
      <c r="G87" s="507">
        <f t="shared" si="113"/>
        <v>6500</v>
      </c>
      <c r="H87" s="456">
        <f t="shared" si="103"/>
        <v>0</v>
      </c>
      <c r="I87" s="456">
        <f t="shared" si="103"/>
        <v>0</v>
      </c>
      <c r="J87" s="456">
        <f t="shared" si="103"/>
        <v>6500</v>
      </c>
      <c r="K87" s="456">
        <f t="shared" si="103"/>
        <v>0</v>
      </c>
      <c r="L87" s="456">
        <f t="shared" si="103"/>
        <v>0</v>
      </c>
      <c r="M87" s="576">
        <f t="shared" si="103"/>
        <v>0</v>
      </c>
      <c r="N87" s="357">
        <f t="shared" si="52"/>
        <v>0</v>
      </c>
      <c r="O87" s="521">
        <f t="shared" si="90"/>
        <v>0</v>
      </c>
      <c r="P87" s="537">
        <f t="shared" si="54"/>
        <v>6500</v>
      </c>
      <c r="Q87" s="574">
        <f t="shared" ref="Q87:AB87" si="114">$P87*Q255</f>
        <v>0</v>
      </c>
      <c r="R87" s="574">
        <f t="shared" si="114"/>
        <v>0</v>
      </c>
      <c r="S87" s="574">
        <f t="shared" si="114"/>
        <v>0</v>
      </c>
      <c r="T87" s="574">
        <f t="shared" si="114"/>
        <v>0</v>
      </c>
      <c r="U87" s="574">
        <f t="shared" si="114"/>
        <v>0</v>
      </c>
      <c r="V87" s="574">
        <f t="shared" si="114"/>
        <v>0</v>
      </c>
      <c r="W87" s="574">
        <f t="shared" si="114"/>
        <v>0</v>
      </c>
      <c r="X87" s="574">
        <f t="shared" si="114"/>
        <v>0</v>
      </c>
      <c r="Y87" s="574">
        <f t="shared" si="114"/>
        <v>0</v>
      </c>
      <c r="Z87" s="574">
        <f t="shared" si="114"/>
        <v>0</v>
      </c>
      <c r="AA87" s="574">
        <f t="shared" si="114"/>
        <v>0</v>
      </c>
      <c r="AB87" s="575">
        <f t="shared" si="114"/>
        <v>0</v>
      </c>
      <c r="AC87" s="595"/>
      <c r="AD87" s="595"/>
    </row>
    <row r="88" spans="1:30" s="25" customFormat="1">
      <c r="A88" s="331"/>
      <c r="B88" s="453"/>
      <c r="C88" s="47" t="str">
        <f t="shared" si="88"/>
        <v>Suction pump</v>
      </c>
      <c r="D88" s="314"/>
      <c r="E88" s="357">
        <f t="shared" si="50"/>
        <v>1000</v>
      </c>
      <c r="F88" s="51">
        <f t="shared" ref="F88:G88" si="115">F256</f>
        <v>1</v>
      </c>
      <c r="G88" s="507">
        <f t="shared" si="115"/>
        <v>1000</v>
      </c>
      <c r="H88" s="456">
        <f t="shared" si="103"/>
        <v>0</v>
      </c>
      <c r="I88" s="456">
        <f t="shared" si="103"/>
        <v>0</v>
      </c>
      <c r="J88" s="456">
        <f t="shared" si="103"/>
        <v>1000</v>
      </c>
      <c r="K88" s="456">
        <f t="shared" si="103"/>
        <v>0</v>
      </c>
      <c r="L88" s="456">
        <f t="shared" si="103"/>
        <v>0</v>
      </c>
      <c r="M88" s="576">
        <f t="shared" si="103"/>
        <v>0</v>
      </c>
      <c r="N88" s="357">
        <f t="shared" si="52"/>
        <v>0</v>
      </c>
      <c r="O88" s="521">
        <f t="shared" si="90"/>
        <v>0</v>
      </c>
      <c r="P88" s="537">
        <f t="shared" si="54"/>
        <v>1000</v>
      </c>
      <c r="Q88" s="574">
        <f t="shared" ref="Q88:AB88" si="116">$P88*Q256</f>
        <v>0</v>
      </c>
      <c r="R88" s="574">
        <f t="shared" si="116"/>
        <v>0</v>
      </c>
      <c r="S88" s="574">
        <f t="shared" si="116"/>
        <v>0</v>
      </c>
      <c r="T88" s="574">
        <f t="shared" si="116"/>
        <v>0</v>
      </c>
      <c r="U88" s="574">
        <f t="shared" si="116"/>
        <v>0</v>
      </c>
      <c r="V88" s="574">
        <f t="shared" si="116"/>
        <v>0</v>
      </c>
      <c r="W88" s="574">
        <f t="shared" si="116"/>
        <v>0</v>
      </c>
      <c r="X88" s="574">
        <f t="shared" si="116"/>
        <v>0</v>
      </c>
      <c r="Y88" s="574">
        <f t="shared" si="116"/>
        <v>0</v>
      </c>
      <c r="Z88" s="574">
        <f t="shared" si="116"/>
        <v>0</v>
      </c>
      <c r="AA88" s="574">
        <f t="shared" si="116"/>
        <v>0</v>
      </c>
      <c r="AB88" s="575">
        <f t="shared" si="116"/>
        <v>0</v>
      </c>
      <c r="AC88" s="595"/>
      <c r="AD88" s="595"/>
    </row>
    <row r="89" spans="1:30" s="25" customFormat="1">
      <c r="A89" s="331"/>
      <c r="B89" s="453"/>
      <c r="C89" s="47" t="str">
        <f t="shared" si="88"/>
        <v>Suction pump (surgical aspirator)</v>
      </c>
      <c r="D89" s="314"/>
      <c r="E89" s="357">
        <f t="shared" si="50"/>
        <v>2000</v>
      </c>
      <c r="F89" s="51">
        <f t="shared" ref="F89:G89" si="117">F257</f>
        <v>2</v>
      </c>
      <c r="G89" s="507">
        <f t="shared" si="117"/>
        <v>1000</v>
      </c>
      <c r="H89" s="456">
        <f t="shared" si="103"/>
        <v>0</v>
      </c>
      <c r="I89" s="456">
        <f t="shared" si="103"/>
        <v>0</v>
      </c>
      <c r="J89" s="456">
        <f t="shared" si="103"/>
        <v>2000</v>
      </c>
      <c r="K89" s="456">
        <f t="shared" si="103"/>
        <v>0</v>
      </c>
      <c r="L89" s="456">
        <f t="shared" si="103"/>
        <v>0</v>
      </c>
      <c r="M89" s="576">
        <f t="shared" si="103"/>
        <v>0</v>
      </c>
      <c r="N89" s="357">
        <f t="shared" si="52"/>
        <v>0</v>
      </c>
      <c r="O89" s="521">
        <f t="shared" si="90"/>
        <v>0</v>
      </c>
      <c r="P89" s="537">
        <f t="shared" si="54"/>
        <v>1000</v>
      </c>
      <c r="Q89" s="574">
        <f t="shared" ref="Q89:AB89" si="118">$P89*Q257</f>
        <v>0</v>
      </c>
      <c r="R89" s="574">
        <f t="shared" si="118"/>
        <v>0</v>
      </c>
      <c r="S89" s="574">
        <f t="shared" si="118"/>
        <v>0</v>
      </c>
      <c r="T89" s="574">
        <f t="shared" si="118"/>
        <v>0</v>
      </c>
      <c r="U89" s="574">
        <f t="shared" si="118"/>
        <v>0</v>
      </c>
      <c r="V89" s="574">
        <f t="shared" si="118"/>
        <v>0</v>
      </c>
      <c r="W89" s="574">
        <f t="shared" si="118"/>
        <v>0</v>
      </c>
      <c r="X89" s="574">
        <f t="shared" si="118"/>
        <v>0</v>
      </c>
      <c r="Y89" s="574">
        <f t="shared" si="118"/>
        <v>0</v>
      </c>
      <c r="Z89" s="574">
        <f t="shared" si="118"/>
        <v>0</v>
      </c>
      <c r="AA89" s="574">
        <f t="shared" si="118"/>
        <v>0</v>
      </c>
      <c r="AB89" s="575">
        <f t="shared" si="118"/>
        <v>0</v>
      </c>
      <c r="AC89" s="595"/>
      <c r="AD89" s="595"/>
    </row>
    <row r="90" spans="1:30" s="25" customFormat="1">
      <c r="A90" s="331"/>
      <c r="B90" s="453"/>
      <c r="C90" s="47" t="str">
        <f t="shared" si="88"/>
        <v>Dehumidifiers</v>
      </c>
      <c r="D90" s="314"/>
      <c r="E90" s="357">
        <f t="shared" si="50"/>
        <v>700</v>
      </c>
      <c r="F90" s="51">
        <f t="shared" ref="F90:G90" si="119">F258</f>
        <v>2</v>
      </c>
      <c r="G90" s="507">
        <f t="shared" si="119"/>
        <v>350</v>
      </c>
      <c r="H90" s="456">
        <f t="shared" si="103"/>
        <v>0</v>
      </c>
      <c r="I90" s="456">
        <f t="shared" si="103"/>
        <v>0</v>
      </c>
      <c r="J90" s="456">
        <f t="shared" si="103"/>
        <v>700</v>
      </c>
      <c r="K90" s="456">
        <f t="shared" si="103"/>
        <v>0</v>
      </c>
      <c r="L90" s="456">
        <f t="shared" si="103"/>
        <v>0</v>
      </c>
      <c r="M90" s="576">
        <f t="shared" si="103"/>
        <v>0</v>
      </c>
      <c r="N90" s="357">
        <f t="shared" si="52"/>
        <v>0</v>
      </c>
      <c r="O90" s="521">
        <f t="shared" si="90"/>
        <v>0</v>
      </c>
      <c r="P90" s="537">
        <f t="shared" si="54"/>
        <v>350</v>
      </c>
      <c r="Q90" s="574">
        <f t="shared" ref="Q90:AB90" si="120">$P90*Q258</f>
        <v>0</v>
      </c>
      <c r="R90" s="574">
        <f t="shared" si="120"/>
        <v>0</v>
      </c>
      <c r="S90" s="574">
        <f t="shared" si="120"/>
        <v>0</v>
      </c>
      <c r="T90" s="574">
        <f t="shared" si="120"/>
        <v>0</v>
      </c>
      <c r="U90" s="574">
        <f t="shared" si="120"/>
        <v>0</v>
      </c>
      <c r="V90" s="574">
        <f t="shared" si="120"/>
        <v>0</v>
      </c>
      <c r="W90" s="574">
        <f t="shared" si="120"/>
        <v>0</v>
      </c>
      <c r="X90" s="574">
        <f t="shared" si="120"/>
        <v>0</v>
      </c>
      <c r="Y90" s="574">
        <f t="shared" si="120"/>
        <v>0</v>
      </c>
      <c r="Z90" s="574">
        <f t="shared" si="120"/>
        <v>0</v>
      </c>
      <c r="AA90" s="574">
        <f t="shared" si="120"/>
        <v>0</v>
      </c>
      <c r="AB90" s="575">
        <f t="shared" si="120"/>
        <v>0</v>
      </c>
      <c r="AC90" s="595"/>
      <c r="AD90" s="595"/>
    </row>
    <row r="91" spans="1:30" s="25" customFormat="1">
      <c r="A91" s="331"/>
      <c r="B91" s="453"/>
      <c r="C91" s="47" t="str">
        <f t="shared" si="88"/>
        <v>Fetoscopy</v>
      </c>
      <c r="D91" s="314"/>
      <c r="E91" s="357">
        <f t="shared" si="50"/>
        <v>1000</v>
      </c>
      <c r="F91" s="51">
        <f t="shared" ref="F91:G91" si="121">F259</f>
        <v>1</v>
      </c>
      <c r="G91" s="507">
        <f t="shared" si="121"/>
        <v>1000</v>
      </c>
      <c r="H91" s="456">
        <f t="shared" si="103"/>
        <v>0</v>
      </c>
      <c r="I91" s="456">
        <f t="shared" si="103"/>
        <v>0</v>
      </c>
      <c r="J91" s="456">
        <f t="shared" si="103"/>
        <v>1000</v>
      </c>
      <c r="K91" s="456">
        <f t="shared" si="103"/>
        <v>0</v>
      </c>
      <c r="L91" s="456">
        <f t="shared" si="103"/>
        <v>0</v>
      </c>
      <c r="M91" s="576">
        <f t="shared" si="103"/>
        <v>0</v>
      </c>
      <c r="N91" s="357">
        <f t="shared" si="52"/>
        <v>0</v>
      </c>
      <c r="O91" s="521">
        <f t="shared" si="90"/>
        <v>0</v>
      </c>
      <c r="P91" s="537">
        <f t="shared" si="54"/>
        <v>1000</v>
      </c>
      <c r="Q91" s="574">
        <f t="shared" ref="Q91:AB91" si="122">$P91*Q259</f>
        <v>0</v>
      </c>
      <c r="R91" s="574">
        <f t="shared" si="122"/>
        <v>0</v>
      </c>
      <c r="S91" s="574">
        <f t="shared" si="122"/>
        <v>0</v>
      </c>
      <c r="T91" s="574">
        <f t="shared" si="122"/>
        <v>0</v>
      </c>
      <c r="U91" s="574">
        <f t="shared" si="122"/>
        <v>0</v>
      </c>
      <c r="V91" s="574">
        <f t="shared" si="122"/>
        <v>0</v>
      </c>
      <c r="W91" s="574">
        <f t="shared" si="122"/>
        <v>0</v>
      </c>
      <c r="X91" s="574">
        <f t="shared" si="122"/>
        <v>0</v>
      </c>
      <c r="Y91" s="574">
        <f t="shared" si="122"/>
        <v>0</v>
      </c>
      <c r="Z91" s="574">
        <f t="shared" si="122"/>
        <v>0</v>
      </c>
      <c r="AA91" s="574">
        <f t="shared" si="122"/>
        <v>0</v>
      </c>
      <c r="AB91" s="575">
        <f t="shared" si="122"/>
        <v>0</v>
      </c>
      <c r="AC91" s="595"/>
      <c r="AD91" s="595"/>
    </row>
    <row r="92" spans="1:30" s="25" customFormat="1">
      <c r="A92" s="331"/>
      <c r="B92" s="453"/>
      <c r="C92" s="47" t="str">
        <f t="shared" si="88"/>
        <v>Gyneacology examination beds</v>
      </c>
      <c r="D92" s="314"/>
      <c r="E92" s="357">
        <f t="shared" si="50"/>
        <v>300</v>
      </c>
      <c r="F92" s="51">
        <f t="shared" ref="F92:G92" si="123">F260</f>
        <v>3</v>
      </c>
      <c r="G92" s="507">
        <f t="shared" si="123"/>
        <v>100</v>
      </c>
      <c r="H92" s="456">
        <f t="shared" ref="H92:M95" si="124">$G92*H260</f>
        <v>0</v>
      </c>
      <c r="I92" s="456">
        <f t="shared" si="124"/>
        <v>0</v>
      </c>
      <c r="J92" s="456">
        <f t="shared" si="124"/>
        <v>300</v>
      </c>
      <c r="K92" s="456">
        <f t="shared" si="124"/>
        <v>0</v>
      </c>
      <c r="L92" s="456">
        <f t="shared" si="124"/>
        <v>0</v>
      </c>
      <c r="M92" s="576">
        <f t="shared" si="124"/>
        <v>0</v>
      </c>
      <c r="N92" s="357">
        <f t="shared" si="52"/>
        <v>0</v>
      </c>
      <c r="O92" s="521">
        <f t="shared" si="90"/>
        <v>0</v>
      </c>
      <c r="P92" s="537">
        <f t="shared" si="54"/>
        <v>100</v>
      </c>
      <c r="Q92" s="574">
        <f t="shared" ref="Q92:AB92" si="125">$P92*Q260</f>
        <v>0</v>
      </c>
      <c r="R92" s="574">
        <f t="shared" si="125"/>
        <v>0</v>
      </c>
      <c r="S92" s="574">
        <f t="shared" si="125"/>
        <v>0</v>
      </c>
      <c r="T92" s="574">
        <f t="shared" si="125"/>
        <v>0</v>
      </c>
      <c r="U92" s="574">
        <f t="shared" si="125"/>
        <v>0</v>
      </c>
      <c r="V92" s="574">
        <f t="shared" si="125"/>
        <v>0</v>
      </c>
      <c r="W92" s="574">
        <f t="shared" si="125"/>
        <v>0</v>
      </c>
      <c r="X92" s="574">
        <f t="shared" si="125"/>
        <v>0</v>
      </c>
      <c r="Y92" s="574">
        <f t="shared" si="125"/>
        <v>0</v>
      </c>
      <c r="Z92" s="574">
        <f t="shared" si="125"/>
        <v>0</v>
      </c>
      <c r="AA92" s="574">
        <f t="shared" si="125"/>
        <v>0</v>
      </c>
      <c r="AB92" s="575">
        <f t="shared" si="125"/>
        <v>0</v>
      </c>
      <c r="AC92" s="595"/>
      <c r="AD92" s="595"/>
    </row>
    <row r="93" spans="1:30" s="25" customFormat="1">
      <c r="A93" s="331"/>
      <c r="B93" s="453"/>
      <c r="C93" s="47" t="str">
        <f t="shared" si="88"/>
        <v>Gyneacology operation beds</v>
      </c>
      <c r="D93" s="314"/>
      <c r="E93" s="357">
        <f t="shared" si="50"/>
        <v>200</v>
      </c>
      <c r="F93" s="51">
        <f t="shared" ref="F93:G93" si="126">F261</f>
        <v>1</v>
      </c>
      <c r="G93" s="507">
        <f t="shared" si="126"/>
        <v>200</v>
      </c>
      <c r="H93" s="456">
        <f t="shared" si="124"/>
        <v>0</v>
      </c>
      <c r="I93" s="456">
        <f t="shared" si="124"/>
        <v>0</v>
      </c>
      <c r="J93" s="456">
        <f t="shared" si="124"/>
        <v>200</v>
      </c>
      <c r="K93" s="456">
        <f t="shared" si="124"/>
        <v>0</v>
      </c>
      <c r="L93" s="456">
        <f t="shared" si="124"/>
        <v>0</v>
      </c>
      <c r="M93" s="576">
        <f t="shared" si="124"/>
        <v>0</v>
      </c>
      <c r="N93" s="357">
        <f t="shared" si="52"/>
        <v>0</v>
      </c>
      <c r="O93" s="521">
        <f t="shared" si="90"/>
        <v>0</v>
      </c>
      <c r="P93" s="537">
        <f t="shared" si="54"/>
        <v>200</v>
      </c>
      <c r="Q93" s="574">
        <f t="shared" ref="Q93:AB93" si="127">$P93*Q261</f>
        <v>0</v>
      </c>
      <c r="R93" s="574">
        <f t="shared" si="127"/>
        <v>0</v>
      </c>
      <c r="S93" s="574">
        <f t="shared" si="127"/>
        <v>0</v>
      </c>
      <c r="T93" s="574">
        <f t="shared" si="127"/>
        <v>0</v>
      </c>
      <c r="U93" s="574">
        <f t="shared" si="127"/>
        <v>0</v>
      </c>
      <c r="V93" s="574">
        <f t="shared" si="127"/>
        <v>0</v>
      </c>
      <c r="W93" s="574">
        <f t="shared" si="127"/>
        <v>0</v>
      </c>
      <c r="X93" s="574">
        <f t="shared" si="127"/>
        <v>0</v>
      </c>
      <c r="Y93" s="574">
        <f t="shared" si="127"/>
        <v>0</v>
      </c>
      <c r="Z93" s="574">
        <f t="shared" si="127"/>
        <v>0</v>
      </c>
      <c r="AA93" s="574">
        <f t="shared" si="127"/>
        <v>0</v>
      </c>
      <c r="AB93" s="575">
        <f t="shared" si="127"/>
        <v>0</v>
      </c>
      <c r="AC93" s="595"/>
      <c r="AD93" s="595"/>
    </row>
    <row r="94" spans="1:30" s="25" customFormat="1">
      <c r="A94" s="331"/>
      <c r="B94" s="453"/>
      <c r="C94" s="47" t="str">
        <f t="shared" si="88"/>
        <v>Oven 3000C</v>
      </c>
      <c r="D94" s="314"/>
      <c r="E94" s="357">
        <f t="shared" si="50"/>
        <v>10500</v>
      </c>
      <c r="F94" s="51">
        <f t="shared" ref="F94:G94" si="128">F262</f>
        <v>3</v>
      </c>
      <c r="G94" s="507">
        <f t="shared" si="128"/>
        <v>3500</v>
      </c>
      <c r="H94" s="456">
        <f t="shared" si="124"/>
        <v>0</v>
      </c>
      <c r="I94" s="456">
        <f t="shared" si="124"/>
        <v>0</v>
      </c>
      <c r="J94" s="456">
        <f t="shared" si="124"/>
        <v>10500</v>
      </c>
      <c r="K94" s="456">
        <f t="shared" si="124"/>
        <v>0</v>
      </c>
      <c r="L94" s="456">
        <f t="shared" si="124"/>
        <v>0</v>
      </c>
      <c r="M94" s="576">
        <f t="shared" si="124"/>
        <v>0</v>
      </c>
      <c r="N94" s="357">
        <f t="shared" si="52"/>
        <v>0</v>
      </c>
      <c r="O94" s="521">
        <f t="shared" si="90"/>
        <v>0</v>
      </c>
      <c r="P94" s="537">
        <f t="shared" si="54"/>
        <v>3500</v>
      </c>
      <c r="Q94" s="574">
        <f t="shared" ref="Q94:AB94" si="129">$P94*Q262</f>
        <v>0</v>
      </c>
      <c r="R94" s="574">
        <f t="shared" si="129"/>
        <v>0</v>
      </c>
      <c r="S94" s="574">
        <f t="shared" si="129"/>
        <v>0</v>
      </c>
      <c r="T94" s="574">
        <f t="shared" si="129"/>
        <v>0</v>
      </c>
      <c r="U94" s="574">
        <f t="shared" si="129"/>
        <v>0</v>
      </c>
      <c r="V94" s="574">
        <f t="shared" si="129"/>
        <v>0</v>
      </c>
      <c r="W94" s="574">
        <f t="shared" si="129"/>
        <v>0</v>
      </c>
      <c r="X94" s="574">
        <f t="shared" si="129"/>
        <v>0</v>
      </c>
      <c r="Y94" s="574">
        <f t="shared" si="129"/>
        <v>0</v>
      </c>
      <c r="Z94" s="574">
        <f t="shared" si="129"/>
        <v>0</v>
      </c>
      <c r="AA94" s="574">
        <f t="shared" si="129"/>
        <v>0</v>
      </c>
      <c r="AB94" s="575">
        <f t="shared" si="129"/>
        <v>0</v>
      </c>
      <c r="AC94" s="595"/>
      <c r="AD94" s="595"/>
    </row>
    <row r="95" spans="1:30" s="25" customFormat="1">
      <c r="A95" s="331"/>
      <c r="B95" s="453"/>
      <c r="C95" s="47" t="str">
        <f t="shared" si="88"/>
        <v>Hot &amp; Cold pack (rubber)</v>
      </c>
      <c r="D95" s="314"/>
      <c r="E95" s="357">
        <f t="shared" si="50"/>
        <v>300</v>
      </c>
      <c r="F95" s="51">
        <f t="shared" ref="F95:G95" si="130">F263</f>
        <v>10</v>
      </c>
      <c r="G95" s="507">
        <f t="shared" si="130"/>
        <v>30</v>
      </c>
      <c r="H95" s="456">
        <f t="shared" si="124"/>
        <v>0</v>
      </c>
      <c r="I95" s="456">
        <f t="shared" si="124"/>
        <v>0</v>
      </c>
      <c r="J95" s="456">
        <f t="shared" si="124"/>
        <v>300</v>
      </c>
      <c r="K95" s="456">
        <f t="shared" si="124"/>
        <v>0</v>
      </c>
      <c r="L95" s="456">
        <f t="shared" si="124"/>
        <v>0</v>
      </c>
      <c r="M95" s="576">
        <f t="shared" si="124"/>
        <v>0</v>
      </c>
      <c r="N95" s="357">
        <f t="shared" si="52"/>
        <v>0</v>
      </c>
      <c r="O95" s="521">
        <f t="shared" si="90"/>
        <v>0</v>
      </c>
      <c r="P95" s="537">
        <f t="shared" si="54"/>
        <v>30</v>
      </c>
      <c r="Q95" s="574">
        <f t="shared" ref="Q95:AB95" si="131">$P95*Q263</f>
        <v>0</v>
      </c>
      <c r="R95" s="574">
        <f t="shared" si="131"/>
        <v>0</v>
      </c>
      <c r="S95" s="574">
        <f t="shared" si="131"/>
        <v>0</v>
      </c>
      <c r="T95" s="574">
        <f t="shared" si="131"/>
        <v>0</v>
      </c>
      <c r="U95" s="574">
        <f t="shared" si="131"/>
        <v>0</v>
      </c>
      <c r="V95" s="574">
        <f t="shared" si="131"/>
        <v>0</v>
      </c>
      <c r="W95" s="574">
        <f t="shared" si="131"/>
        <v>0</v>
      </c>
      <c r="X95" s="574">
        <f t="shared" si="131"/>
        <v>0</v>
      </c>
      <c r="Y95" s="574">
        <f t="shared" si="131"/>
        <v>0</v>
      </c>
      <c r="Z95" s="574">
        <f t="shared" si="131"/>
        <v>0</v>
      </c>
      <c r="AA95" s="574">
        <f t="shared" si="131"/>
        <v>0</v>
      </c>
      <c r="AB95" s="575">
        <f t="shared" si="131"/>
        <v>0</v>
      </c>
      <c r="AC95" s="595"/>
      <c r="AD95" s="595"/>
    </row>
    <row r="96" spans="1:30" s="25" customFormat="1" ht="15">
      <c r="A96" s="331"/>
      <c r="B96" s="453"/>
      <c r="C96" s="499" t="s">
        <v>234</v>
      </c>
      <c r="D96" s="524"/>
      <c r="E96" s="370">
        <f>SUM(E62:E95)</f>
        <v>59730</v>
      </c>
      <c r="F96" s="503"/>
      <c r="G96" s="525"/>
      <c r="H96" s="530">
        <f t="shared" ref="H96:N96" si="132">SUM(H62:H95)</f>
        <v>0</v>
      </c>
      <c r="I96" s="530">
        <f t="shared" si="132"/>
        <v>0</v>
      </c>
      <c r="J96" s="530">
        <f t="shared" si="132"/>
        <v>47730</v>
      </c>
      <c r="K96" s="530">
        <f t="shared" si="132"/>
        <v>12000</v>
      </c>
      <c r="L96" s="530">
        <f t="shared" si="132"/>
        <v>0</v>
      </c>
      <c r="M96" s="577">
        <f t="shared" si="132"/>
        <v>0</v>
      </c>
      <c r="N96" s="370">
        <f t="shared" si="132"/>
        <v>0</v>
      </c>
      <c r="O96" s="526"/>
      <c r="P96" s="546"/>
      <c r="Q96" s="530">
        <f t="shared" ref="Q96:AB96" si="133">SUM(Q62:Q95)</f>
        <v>0</v>
      </c>
      <c r="R96" s="530">
        <f t="shared" si="133"/>
        <v>0</v>
      </c>
      <c r="S96" s="530">
        <f t="shared" si="133"/>
        <v>0</v>
      </c>
      <c r="T96" s="530">
        <f t="shared" si="133"/>
        <v>0</v>
      </c>
      <c r="U96" s="530">
        <f t="shared" si="133"/>
        <v>0</v>
      </c>
      <c r="V96" s="530">
        <f t="shared" si="133"/>
        <v>0</v>
      </c>
      <c r="W96" s="530">
        <f t="shared" si="133"/>
        <v>0</v>
      </c>
      <c r="X96" s="530">
        <f t="shared" si="133"/>
        <v>0</v>
      </c>
      <c r="Y96" s="530">
        <f t="shared" si="133"/>
        <v>0</v>
      </c>
      <c r="Z96" s="530">
        <f t="shared" si="133"/>
        <v>0</v>
      </c>
      <c r="AA96" s="530">
        <f t="shared" si="133"/>
        <v>0</v>
      </c>
      <c r="AB96" s="577">
        <f t="shared" si="133"/>
        <v>0</v>
      </c>
      <c r="AC96" s="595"/>
      <c r="AD96" s="595"/>
    </row>
    <row r="97" spans="1:30" s="48" customFormat="1" ht="15">
      <c r="A97" s="511"/>
      <c r="B97" s="641"/>
      <c r="E97" s="456"/>
      <c r="F97" s="51"/>
      <c r="G97" s="512"/>
      <c r="H97" s="51"/>
      <c r="I97" s="51"/>
      <c r="J97" s="51"/>
      <c r="K97" s="51"/>
      <c r="L97" s="51"/>
      <c r="M97" s="51"/>
      <c r="N97" s="349"/>
      <c r="O97" s="350"/>
      <c r="P97" s="351"/>
      <c r="Q97" s="352"/>
      <c r="R97" s="352"/>
      <c r="S97" s="348"/>
      <c r="AC97" s="597"/>
      <c r="AD97" s="597"/>
    </row>
    <row r="98" spans="1:30" s="25" customFormat="1" ht="15">
      <c r="A98" s="331"/>
      <c r="B98" s="453"/>
      <c r="C98" s="534" t="s">
        <v>226</v>
      </c>
      <c r="D98" s="496"/>
      <c r="E98" s="363"/>
      <c r="F98" s="364"/>
      <c r="G98" s="505"/>
      <c r="H98" s="364"/>
      <c r="I98" s="364"/>
      <c r="J98" s="364"/>
      <c r="K98" s="364"/>
      <c r="L98" s="364"/>
      <c r="M98" s="365"/>
      <c r="N98" s="522"/>
      <c r="O98" s="513"/>
      <c r="P98" s="535"/>
      <c r="Q98" s="514"/>
      <c r="R98" s="514"/>
      <c r="S98" s="515"/>
      <c r="T98" s="455"/>
      <c r="U98" s="455"/>
      <c r="V98" s="455"/>
      <c r="W98" s="455"/>
      <c r="X98" s="455"/>
      <c r="Y98" s="455"/>
      <c r="Z98" s="455"/>
      <c r="AA98" s="455"/>
      <c r="AB98" s="516"/>
      <c r="AC98" s="595"/>
      <c r="AD98" s="595"/>
    </row>
    <row r="99" spans="1:30" s="25" customFormat="1" ht="15">
      <c r="A99" s="331"/>
      <c r="B99" s="453"/>
      <c r="C99" s="498" t="s">
        <v>697</v>
      </c>
      <c r="D99" s="314"/>
      <c r="E99" s="357"/>
      <c r="F99" s="51"/>
      <c r="G99" s="507"/>
      <c r="H99" s="51"/>
      <c r="I99" s="51"/>
      <c r="J99" s="51"/>
      <c r="K99" s="51"/>
      <c r="L99" s="51"/>
      <c r="M99" s="368"/>
      <c r="N99" s="523"/>
      <c r="O99" s="350"/>
      <c r="P99" s="536"/>
      <c r="Q99" s="352"/>
      <c r="R99" s="352"/>
      <c r="S99" s="348"/>
      <c r="AB99" s="372"/>
      <c r="AC99" s="595"/>
      <c r="AD99" s="595"/>
    </row>
    <row r="100" spans="1:30" s="25" customFormat="1">
      <c r="A100" s="331"/>
      <c r="B100" s="453"/>
      <c r="C100" s="541" t="str">
        <f t="shared" ref="C100:C113" si="134">C268</f>
        <v>pH meter</v>
      </c>
      <c r="D100" s="353"/>
      <c r="E100" s="357">
        <f t="shared" ref="E100" ca="1" si="135">SUM(H100:M100)</f>
        <v>50</v>
      </c>
      <c r="F100" s="456">
        <f t="shared" ref="F100:G100" ca="1" si="136">F268</f>
        <v>1</v>
      </c>
      <c r="G100" s="507">
        <f t="shared" si="136"/>
        <v>50</v>
      </c>
      <c r="H100" s="456">
        <f t="shared" ref="H100:M114" si="137">$G100*H268</f>
        <v>0</v>
      </c>
      <c r="I100" s="456">
        <f t="shared" si="137"/>
        <v>0</v>
      </c>
      <c r="J100" s="456">
        <f t="shared" ca="1" si="137"/>
        <v>50</v>
      </c>
      <c r="K100" s="456">
        <f t="shared" si="137"/>
        <v>0</v>
      </c>
      <c r="L100" s="456">
        <f t="shared" si="137"/>
        <v>0</v>
      </c>
      <c r="M100" s="576">
        <f t="shared" si="137"/>
        <v>0</v>
      </c>
      <c r="N100" s="357">
        <f t="shared" ref="N100" si="138">SUM(Q100:AB100)</f>
        <v>50</v>
      </c>
      <c r="O100" s="456">
        <f t="shared" ref="O100:O113" si="139">O268</f>
        <v>1</v>
      </c>
      <c r="P100" s="537">
        <f t="shared" ref="P100" si="140">G100</f>
        <v>50</v>
      </c>
      <c r="Q100" s="456">
        <f t="shared" ref="Q100:AB100" si="141">$P100*Q268</f>
        <v>0</v>
      </c>
      <c r="R100" s="456">
        <f t="shared" si="141"/>
        <v>0</v>
      </c>
      <c r="S100" s="456">
        <f t="shared" si="141"/>
        <v>0</v>
      </c>
      <c r="T100" s="456">
        <f t="shared" si="141"/>
        <v>0</v>
      </c>
      <c r="U100" s="456">
        <f t="shared" si="141"/>
        <v>0</v>
      </c>
      <c r="V100" s="456">
        <f t="shared" si="141"/>
        <v>50</v>
      </c>
      <c r="W100" s="456">
        <f t="shared" si="141"/>
        <v>0</v>
      </c>
      <c r="X100" s="456">
        <f t="shared" si="141"/>
        <v>0</v>
      </c>
      <c r="Y100" s="456">
        <f t="shared" si="141"/>
        <v>0</v>
      </c>
      <c r="Z100" s="456">
        <f t="shared" si="141"/>
        <v>0</v>
      </c>
      <c r="AA100" s="456">
        <f t="shared" si="141"/>
        <v>0</v>
      </c>
      <c r="AB100" s="576">
        <f t="shared" si="141"/>
        <v>0</v>
      </c>
      <c r="AC100" s="595">
        <f>'List of equipment'!$Q$107</f>
        <v>2</v>
      </c>
      <c r="AD100" s="595" t="str">
        <f t="shared" ref="AD100:AD114" ca="1" si="142">IF(SUM(F100,O100)-AC100&gt;=0,"True","False")</f>
        <v>True</v>
      </c>
    </row>
    <row r="101" spans="1:30" s="25" customFormat="1">
      <c r="A101" s="331"/>
      <c r="B101" s="453"/>
      <c r="C101" s="541" t="str">
        <f t="shared" si="134"/>
        <v>Double distillation still (20 l per hour)</v>
      </c>
      <c r="D101" s="353"/>
      <c r="E101" s="357">
        <f t="shared" ref="E101:E145" ca="1" si="143">SUM(H101:M101)</f>
        <v>1500</v>
      </c>
      <c r="F101" s="456">
        <f t="shared" ref="F101:G101" ca="1" si="144">F269</f>
        <v>1</v>
      </c>
      <c r="G101" s="507">
        <f t="shared" si="144"/>
        <v>1500</v>
      </c>
      <c r="H101" s="456">
        <f t="shared" si="137"/>
        <v>0</v>
      </c>
      <c r="I101" s="456">
        <f t="shared" si="137"/>
        <v>0</v>
      </c>
      <c r="J101" s="456">
        <f t="shared" ca="1" si="137"/>
        <v>1500</v>
      </c>
      <c r="K101" s="456">
        <f t="shared" si="137"/>
        <v>0</v>
      </c>
      <c r="L101" s="456">
        <f t="shared" si="137"/>
        <v>0</v>
      </c>
      <c r="M101" s="576">
        <f t="shared" si="137"/>
        <v>0</v>
      </c>
      <c r="N101" s="357">
        <f t="shared" ref="N101:N145" si="145">SUM(Q101:AB101)</f>
        <v>1500</v>
      </c>
      <c r="O101" s="456">
        <f t="shared" si="139"/>
        <v>1</v>
      </c>
      <c r="P101" s="537">
        <f t="shared" ref="P101:P145" si="146">G101</f>
        <v>1500</v>
      </c>
      <c r="Q101" s="456">
        <f t="shared" ref="Q101:AB101" si="147">$P101*Q269</f>
        <v>0</v>
      </c>
      <c r="R101" s="456">
        <f t="shared" si="147"/>
        <v>0</v>
      </c>
      <c r="S101" s="456">
        <f t="shared" si="147"/>
        <v>1500</v>
      </c>
      <c r="T101" s="456">
        <f t="shared" si="147"/>
        <v>0</v>
      </c>
      <c r="U101" s="456">
        <f t="shared" si="147"/>
        <v>0</v>
      </c>
      <c r="V101" s="456">
        <f t="shared" si="147"/>
        <v>0</v>
      </c>
      <c r="W101" s="456">
        <f t="shared" si="147"/>
        <v>0</v>
      </c>
      <c r="X101" s="456">
        <f t="shared" si="147"/>
        <v>0</v>
      </c>
      <c r="Y101" s="456">
        <f t="shared" si="147"/>
        <v>0</v>
      </c>
      <c r="Z101" s="456">
        <f t="shared" si="147"/>
        <v>0</v>
      </c>
      <c r="AA101" s="456">
        <f t="shared" si="147"/>
        <v>0</v>
      </c>
      <c r="AB101" s="576">
        <f t="shared" si="147"/>
        <v>0</v>
      </c>
      <c r="AC101" s="595">
        <f>'List of equipment'!$Q$110</f>
        <v>1</v>
      </c>
      <c r="AD101" s="595" t="str">
        <f t="shared" ca="1" si="142"/>
        <v>True</v>
      </c>
    </row>
    <row r="102" spans="1:30" s="25" customFormat="1">
      <c r="A102" s="331"/>
      <c r="B102" s="453"/>
      <c r="C102" s="541" t="str">
        <f t="shared" si="134"/>
        <v>Vacuum evaporator</v>
      </c>
      <c r="D102" s="353"/>
      <c r="E102" s="357">
        <f t="shared" ca="1" si="143"/>
        <v>20000</v>
      </c>
      <c r="F102" s="456">
        <f t="shared" ref="F102:G102" ca="1" si="148">F270</f>
        <v>1</v>
      </c>
      <c r="G102" s="507">
        <f t="shared" si="148"/>
        <v>20000</v>
      </c>
      <c r="H102" s="456">
        <f t="shared" si="137"/>
        <v>0</v>
      </c>
      <c r="I102" s="456">
        <f t="shared" si="137"/>
        <v>0</v>
      </c>
      <c r="J102" s="456">
        <f t="shared" ca="1" si="137"/>
        <v>20000</v>
      </c>
      <c r="K102" s="456">
        <f t="shared" si="137"/>
        <v>0</v>
      </c>
      <c r="L102" s="456">
        <f t="shared" si="137"/>
        <v>0</v>
      </c>
      <c r="M102" s="576">
        <f t="shared" si="137"/>
        <v>0</v>
      </c>
      <c r="N102" s="357">
        <f t="shared" si="145"/>
        <v>20000</v>
      </c>
      <c r="O102" s="456">
        <f t="shared" si="139"/>
        <v>1</v>
      </c>
      <c r="P102" s="537">
        <f t="shared" si="146"/>
        <v>20000</v>
      </c>
      <c r="Q102" s="456">
        <f t="shared" ref="Q102:AB102" si="149">$P102*Q270</f>
        <v>0</v>
      </c>
      <c r="R102" s="456">
        <f t="shared" si="149"/>
        <v>0</v>
      </c>
      <c r="S102" s="456">
        <f t="shared" si="149"/>
        <v>20000</v>
      </c>
      <c r="T102" s="456">
        <f t="shared" si="149"/>
        <v>0</v>
      </c>
      <c r="U102" s="456">
        <f t="shared" si="149"/>
        <v>0</v>
      </c>
      <c r="V102" s="456">
        <f t="shared" si="149"/>
        <v>0</v>
      </c>
      <c r="W102" s="456">
        <f t="shared" si="149"/>
        <v>0</v>
      </c>
      <c r="X102" s="456">
        <f t="shared" si="149"/>
        <v>0</v>
      </c>
      <c r="Y102" s="456">
        <f t="shared" si="149"/>
        <v>0</v>
      </c>
      <c r="Z102" s="456">
        <f t="shared" si="149"/>
        <v>0</v>
      </c>
      <c r="AA102" s="456">
        <f t="shared" si="149"/>
        <v>0</v>
      </c>
      <c r="AB102" s="576">
        <f t="shared" si="149"/>
        <v>0</v>
      </c>
      <c r="AC102" s="595">
        <f>'List of equipment'!$Q$111</f>
        <v>1</v>
      </c>
      <c r="AD102" s="595" t="str">
        <f t="shared" ca="1" si="142"/>
        <v>True</v>
      </c>
    </row>
    <row r="103" spans="1:30" s="25" customFormat="1">
      <c r="A103" s="331"/>
      <c r="B103" s="453"/>
      <c r="C103" s="541" t="str">
        <f t="shared" si="134"/>
        <v>Laboratory blender</v>
      </c>
      <c r="D103" s="353"/>
      <c r="E103" s="357">
        <f t="shared" ca="1" si="143"/>
        <v>200</v>
      </c>
      <c r="F103" s="456">
        <f t="shared" ref="F103:G103" ca="1" si="150">F271</f>
        <v>1</v>
      </c>
      <c r="G103" s="507">
        <f t="shared" si="150"/>
        <v>200</v>
      </c>
      <c r="H103" s="456">
        <f t="shared" si="137"/>
        <v>0</v>
      </c>
      <c r="I103" s="456">
        <f t="shared" si="137"/>
        <v>0</v>
      </c>
      <c r="J103" s="456">
        <f t="shared" ca="1" si="137"/>
        <v>200</v>
      </c>
      <c r="K103" s="456">
        <f t="shared" si="137"/>
        <v>0</v>
      </c>
      <c r="L103" s="456">
        <f t="shared" si="137"/>
        <v>0</v>
      </c>
      <c r="M103" s="576">
        <f t="shared" si="137"/>
        <v>0</v>
      </c>
      <c r="N103" s="357">
        <f t="shared" si="145"/>
        <v>200</v>
      </c>
      <c r="O103" s="456">
        <f t="shared" si="139"/>
        <v>1</v>
      </c>
      <c r="P103" s="537">
        <f t="shared" si="146"/>
        <v>200</v>
      </c>
      <c r="Q103" s="456">
        <f t="shared" ref="Q103:AB103" si="151">$P103*Q271</f>
        <v>0</v>
      </c>
      <c r="R103" s="456">
        <f t="shared" si="151"/>
        <v>0</v>
      </c>
      <c r="S103" s="456">
        <f t="shared" si="151"/>
        <v>200</v>
      </c>
      <c r="T103" s="456">
        <f t="shared" si="151"/>
        <v>0</v>
      </c>
      <c r="U103" s="456">
        <f t="shared" si="151"/>
        <v>0</v>
      </c>
      <c r="V103" s="456">
        <f t="shared" si="151"/>
        <v>0</v>
      </c>
      <c r="W103" s="456">
        <f t="shared" si="151"/>
        <v>0</v>
      </c>
      <c r="X103" s="456">
        <f t="shared" si="151"/>
        <v>0</v>
      </c>
      <c r="Y103" s="456">
        <f t="shared" si="151"/>
        <v>0</v>
      </c>
      <c r="Z103" s="456">
        <f t="shared" si="151"/>
        <v>0</v>
      </c>
      <c r="AA103" s="456">
        <f t="shared" si="151"/>
        <v>0</v>
      </c>
      <c r="AB103" s="576">
        <f t="shared" si="151"/>
        <v>0</v>
      </c>
      <c r="AC103" s="595">
        <f>'List of equipment'!$Q$112</f>
        <v>1</v>
      </c>
      <c r="AD103" s="595" t="str">
        <f t="shared" ca="1" si="142"/>
        <v>True</v>
      </c>
    </row>
    <row r="104" spans="1:30" s="25" customFormat="1">
      <c r="A104" s="331"/>
      <c r="B104" s="453"/>
      <c r="C104" s="541" t="str">
        <f t="shared" si="134"/>
        <v>Magnetic stirrer</v>
      </c>
      <c r="D104" s="353"/>
      <c r="E104" s="357">
        <f t="shared" ca="1" si="143"/>
        <v>100</v>
      </c>
      <c r="F104" s="456">
        <f t="shared" ref="F104:G104" ca="1" si="152">F272</f>
        <v>1</v>
      </c>
      <c r="G104" s="507">
        <f t="shared" si="152"/>
        <v>100</v>
      </c>
      <c r="H104" s="456">
        <f t="shared" si="137"/>
        <v>0</v>
      </c>
      <c r="I104" s="456">
        <f t="shared" si="137"/>
        <v>0</v>
      </c>
      <c r="J104" s="456">
        <f t="shared" ca="1" si="137"/>
        <v>100</v>
      </c>
      <c r="K104" s="456">
        <f t="shared" si="137"/>
        <v>0</v>
      </c>
      <c r="L104" s="456">
        <f t="shared" si="137"/>
        <v>0</v>
      </c>
      <c r="M104" s="576">
        <f t="shared" si="137"/>
        <v>0</v>
      </c>
      <c r="N104" s="357">
        <f t="shared" si="145"/>
        <v>100</v>
      </c>
      <c r="O104" s="456">
        <f t="shared" si="139"/>
        <v>1</v>
      </c>
      <c r="P104" s="537">
        <f t="shared" si="146"/>
        <v>100</v>
      </c>
      <c r="Q104" s="456">
        <f t="shared" ref="Q104:AB104" si="153">$P104*Q272</f>
        <v>0</v>
      </c>
      <c r="R104" s="456">
        <f t="shared" si="153"/>
        <v>0</v>
      </c>
      <c r="S104" s="456">
        <f t="shared" si="153"/>
        <v>100</v>
      </c>
      <c r="T104" s="456">
        <f t="shared" si="153"/>
        <v>0</v>
      </c>
      <c r="U104" s="456">
        <f t="shared" si="153"/>
        <v>0</v>
      </c>
      <c r="V104" s="456">
        <f t="shared" si="153"/>
        <v>0</v>
      </c>
      <c r="W104" s="456">
        <f t="shared" si="153"/>
        <v>0</v>
      </c>
      <c r="X104" s="456">
        <f t="shared" si="153"/>
        <v>0</v>
      </c>
      <c r="Y104" s="456">
        <f t="shared" si="153"/>
        <v>0</v>
      </c>
      <c r="Z104" s="456">
        <f t="shared" si="153"/>
        <v>0</v>
      </c>
      <c r="AA104" s="456">
        <f t="shared" si="153"/>
        <v>0</v>
      </c>
      <c r="AB104" s="576">
        <f t="shared" si="153"/>
        <v>0</v>
      </c>
      <c r="AC104" s="595">
        <f>'List of equipment'!$Q$113</f>
        <v>1</v>
      </c>
      <c r="AD104" s="595" t="str">
        <f t="shared" ca="1" si="142"/>
        <v>True</v>
      </c>
    </row>
    <row r="105" spans="1:30" s="25" customFormat="1">
      <c r="A105" s="331"/>
      <c r="B105" s="453"/>
      <c r="C105" s="541" t="str">
        <f t="shared" si="134"/>
        <v>Centrifuge machine (24 tubes)</v>
      </c>
      <c r="D105" s="353"/>
      <c r="E105" s="357">
        <f t="shared" si="143"/>
        <v>4900</v>
      </c>
      <c r="F105" s="456">
        <f t="shared" ref="F105:G105" si="154">F273</f>
        <v>1</v>
      </c>
      <c r="G105" s="507">
        <f t="shared" si="154"/>
        <v>4900</v>
      </c>
      <c r="H105" s="456">
        <f t="shared" si="137"/>
        <v>0</v>
      </c>
      <c r="I105" s="456">
        <f t="shared" si="137"/>
        <v>0</v>
      </c>
      <c r="J105" s="456">
        <f t="shared" si="137"/>
        <v>4900</v>
      </c>
      <c r="K105" s="456">
        <f t="shared" si="137"/>
        <v>0</v>
      </c>
      <c r="L105" s="456">
        <f t="shared" si="137"/>
        <v>0</v>
      </c>
      <c r="M105" s="576">
        <f t="shared" si="137"/>
        <v>0</v>
      </c>
      <c r="N105" s="357">
        <f t="shared" si="145"/>
        <v>4900</v>
      </c>
      <c r="O105" s="456">
        <f t="shared" si="139"/>
        <v>1</v>
      </c>
      <c r="P105" s="537">
        <f t="shared" si="146"/>
        <v>4900</v>
      </c>
      <c r="Q105" s="456">
        <f t="shared" ref="Q105:AB105" si="155">$P105*Q273</f>
        <v>0</v>
      </c>
      <c r="R105" s="456">
        <f t="shared" si="155"/>
        <v>0</v>
      </c>
      <c r="S105" s="456">
        <f t="shared" si="155"/>
        <v>4900</v>
      </c>
      <c r="T105" s="456">
        <f t="shared" si="155"/>
        <v>0</v>
      </c>
      <c r="U105" s="456">
        <f t="shared" si="155"/>
        <v>0</v>
      </c>
      <c r="V105" s="456">
        <f t="shared" si="155"/>
        <v>0</v>
      </c>
      <c r="W105" s="456">
        <f t="shared" si="155"/>
        <v>0</v>
      </c>
      <c r="X105" s="456">
        <f t="shared" si="155"/>
        <v>0</v>
      </c>
      <c r="Y105" s="456">
        <f t="shared" si="155"/>
        <v>0</v>
      </c>
      <c r="Z105" s="456">
        <f t="shared" si="155"/>
        <v>0</v>
      </c>
      <c r="AA105" s="456">
        <f t="shared" si="155"/>
        <v>0</v>
      </c>
      <c r="AB105" s="576">
        <f t="shared" si="155"/>
        <v>0</v>
      </c>
      <c r="AC105" s="595">
        <f>'List of equipment'!$Q$115</f>
        <v>1</v>
      </c>
      <c r="AD105" s="595" t="str">
        <f t="shared" si="142"/>
        <v>True</v>
      </c>
    </row>
    <row r="106" spans="1:30" s="25" customFormat="1">
      <c r="A106" s="331"/>
      <c r="B106" s="453"/>
      <c r="C106" s="541" t="str">
        <f t="shared" si="134"/>
        <v>Centrifuge machine (versatile)</v>
      </c>
      <c r="D106" s="353"/>
      <c r="E106" s="357">
        <f t="shared" ca="1" si="143"/>
        <v>14000</v>
      </c>
      <c r="F106" s="456">
        <f t="shared" ref="F106:G106" ca="1" si="156">F274</f>
        <v>2</v>
      </c>
      <c r="G106" s="507">
        <f t="shared" si="156"/>
        <v>7000</v>
      </c>
      <c r="H106" s="456">
        <f t="shared" si="137"/>
        <v>0</v>
      </c>
      <c r="I106" s="456">
        <f t="shared" si="137"/>
        <v>0</v>
      </c>
      <c r="J106" s="456">
        <f t="shared" ca="1" si="137"/>
        <v>14000</v>
      </c>
      <c r="K106" s="456">
        <f t="shared" si="137"/>
        <v>0</v>
      </c>
      <c r="L106" s="456">
        <f t="shared" si="137"/>
        <v>0</v>
      </c>
      <c r="M106" s="576">
        <f t="shared" si="137"/>
        <v>0</v>
      </c>
      <c r="N106" s="357">
        <f t="shared" ca="1" si="145"/>
        <v>7000</v>
      </c>
      <c r="O106" s="456">
        <f t="shared" ca="1" si="139"/>
        <v>1</v>
      </c>
      <c r="P106" s="537">
        <f t="shared" si="146"/>
        <v>7000</v>
      </c>
      <c r="Q106" s="456">
        <f t="shared" ref="Q106:AB106" ca="1" si="157">$P106*Q274</f>
        <v>7000</v>
      </c>
      <c r="R106" s="456">
        <f t="shared" si="157"/>
        <v>0</v>
      </c>
      <c r="S106" s="456">
        <f t="shared" si="157"/>
        <v>0</v>
      </c>
      <c r="T106" s="456">
        <f t="shared" si="157"/>
        <v>0</v>
      </c>
      <c r="U106" s="456">
        <f t="shared" si="157"/>
        <v>0</v>
      </c>
      <c r="V106" s="456">
        <f t="shared" si="157"/>
        <v>0</v>
      </c>
      <c r="W106" s="456">
        <f t="shared" si="157"/>
        <v>0</v>
      </c>
      <c r="X106" s="456">
        <f t="shared" si="157"/>
        <v>0</v>
      </c>
      <c r="Y106" s="456">
        <f t="shared" si="157"/>
        <v>0</v>
      </c>
      <c r="Z106" s="456">
        <f t="shared" si="157"/>
        <v>0</v>
      </c>
      <c r="AA106" s="456">
        <f t="shared" si="157"/>
        <v>0</v>
      </c>
      <c r="AB106" s="576">
        <f t="shared" si="157"/>
        <v>0</v>
      </c>
      <c r="AC106" s="595">
        <f>'List of equipment'!$Q$116</f>
        <v>3</v>
      </c>
      <c r="AD106" s="595" t="str">
        <f t="shared" ca="1" si="142"/>
        <v>True</v>
      </c>
    </row>
    <row r="107" spans="1:30" s="25" customFormat="1">
      <c r="A107" s="331"/>
      <c r="B107" s="453"/>
      <c r="C107" s="541" t="str">
        <f t="shared" si="134"/>
        <v>Needle destroyer</v>
      </c>
      <c r="D107" s="353"/>
      <c r="E107" s="357">
        <f t="shared" si="143"/>
        <v>30</v>
      </c>
      <c r="F107" s="456">
        <f t="shared" ref="F107:G107" si="158">F275</f>
        <v>1</v>
      </c>
      <c r="G107" s="507">
        <f t="shared" si="158"/>
        <v>30</v>
      </c>
      <c r="H107" s="456">
        <f t="shared" si="137"/>
        <v>0</v>
      </c>
      <c r="I107" s="456">
        <f t="shared" si="137"/>
        <v>0</v>
      </c>
      <c r="J107" s="456">
        <f t="shared" si="137"/>
        <v>30</v>
      </c>
      <c r="K107" s="456">
        <f t="shared" si="137"/>
        <v>0</v>
      </c>
      <c r="L107" s="456">
        <f t="shared" si="137"/>
        <v>0</v>
      </c>
      <c r="M107" s="576">
        <f t="shared" si="137"/>
        <v>0</v>
      </c>
      <c r="N107" s="357">
        <f t="shared" si="145"/>
        <v>30</v>
      </c>
      <c r="O107" s="456">
        <f t="shared" si="139"/>
        <v>1</v>
      </c>
      <c r="P107" s="537">
        <f t="shared" si="146"/>
        <v>30</v>
      </c>
      <c r="Q107" s="456">
        <f t="shared" ref="Q107:AB107" si="159">$P107*Q275</f>
        <v>0</v>
      </c>
      <c r="R107" s="456">
        <f t="shared" si="159"/>
        <v>0</v>
      </c>
      <c r="S107" s="456">
        <f t="shared" si="159"/>
        <v>30</v>
      </c>
      <c r="T107" s="456">
        <f t="shared" si="159"/>
        <v>0</v>
      </c>
      <c r="U107" s="456">
        <f t="shared" si="159"/>
        <v>0</v>
      </c>
      <c r="V107" s="456">
        <f t="shared" si="159"/>
        <v>0</v>
      </c>
      <c r="W107" s="456">
        <f t="shared" si="159"/>
        <v>0</v>
      </c>
      <c r="X107" s="456">
        <f t="shared" si="159"/>
        <v>0</v>
      </c>
      <c r="Y107" s="456">
        <f t="shared" si="159"/>
        <v>0</v>
      </c>
      <c r="Z107" s="456">
        <f t="shared" si="159"/>
        <v>0</v>
      </c>
      <c r="AA107" s="456">
        <f t="shared" si="159"/>
        <v>0</v>
      </c>
      <c r="AB107" s="576">
        <f t="shared" si="159"/>
        <v>0</v>
      </c>
      <c r="AC107" s="595">
        <f>'List of equipment'!$Q$40</f>
        <v>1</v>
      </c>
      <c r="AD107" s="595" t="str">
        <f t="shared" si="142"/>
        <v>True</v>
      </c>
    </row>
    <row r="108" spans="1:30" s="25" customFormat="1">
      <c r="A108" s="331"/>
      <c r="B108" s="453"/>
      <c r="C108" s="541" t="str">
        <f t="shared" si="134"/>
        <v>Autoclave</v>
      </c>
      <c r="D108" s="353"/>
      <c r="E108" s="357">
        <f t="shared" ca="1" si="143"/>
        <v>1000</v>
      </c>
      <c r="F108" s="456">
        <f t="shared" ref="F108:G108" ca="1" si="160">F276</f>
        <v>1</v>
      </c>
      <c r="G108" s="507">
        <f t="shared" si="160"/>
        <v>1000</v>
      </c>
      <c r="H108" s="456">
        <f t="shared" si="137"/>
        <v>0</v>
      </c>
      <c r="I108" s="456">
        <f t="shared" si="137"/>
        <v>0</v>
      </c>
      <c r="J108" s="456">
        <f t="shared" ca="1" si="137"/>
        <v>1000</v>
      </c>
      <c r="K108" s="456">
        <f t="shared" si="137"/>
        <v>0</v>
      </c>
      <c r="L108" s="456">
        <f t="shared" si="137"/>
        <v>0</v>
      </c>
      <c r="M108" s="576">
        <f t="shared" si="137"/>
        <v>0</v>
      </c>
      <c r="N108" s="357">
        <f t="shared" ca="1" si="145"/>
        <v>1000</v>
      </c>
      <c r="O108" s="456">
        <f t="shared" ca="1" si="139"/>
        <v>1</v>
      </c>
      <c r="P108" s="537">
        <f t="shared" si="146"/>
        <v>1000</v>
      </c>
      <c r="Q108" s="456">
        <f t="shared" ref="Q108:AB108" ca="1" si="161">$P108*Q276</f>
        <v>1000</v>
      </c>
      <c r="R108" s="456">
        <f t="shared" si="161"/>
        <v>0</v>
      </c>
      <c r="S108" s="456">
        <f t="shared" si="161"/>
        <v>0</v>
      </c>
      <c r="T108" s="456">
        <f t="shared" si="161"/>
        <v>0</v>
      </c>
      <c r="U108" s="456">
        <f t="shared" si="161"/>
        <v>0</v>
      </c>
      <c r="V108" s="456">
        <f t="shared" si="161"/>
        <v>0</v>
      </c>
      <c r="W108" s="456">
        <f t="shared" si="161"/>
        <v>0</v>
      </c>
      <c r="X108" s="456">
        <f t="shared" si="161"/>
        <v>0</v>
      </c>
      <c r="Y108" s="456">
        <f t="shared" si="161"/>
        <v>0</v>
      </c>
      <c r="Z108" s="456">
        <f t="shared" si="161"/>
        <v>0</v>
      </c>
      <c r="AA108" s="456">
        <f t="shared" si="161"/>
        <v>0</v>
      </c>
      <c r="AB108" s="576">
        <f t="shared" si="161"/>
        <v>0</v>
      </c>
      <c r="AC108" s="595">
        <f>'List of equipment'!$Q$41</f>
        <v>2</v>
      </c>
      <c r="AD108" s="595" t="str">
        <f t="shared" ca="1" si="142"/>
        <v>True</v>
      </c>
    </row>
    <row r="109" spans="1:30" s="25" customFormat="1">
      <c r="A109" s="331"/>
      <c r="B109" s="453"/>
      <c r="C109" s="541" t="str">
        <f t="shared" si="134"/>
        <v>Refrigerator (200ml)</v>
      </c>
      <c r="D109" s="353"/>
      <c r="E109" s="357">
        <f t="shared" ca="1" si="143"/>
        <v>32000</v>
      </c>
      <c r="F109" s="456">
        <f t="shared" ref="F109:G109" ca="1" si="162">F277</f>
        <v>4</v>
      </c>
      <c r="G109" s="507">
        <f t="shared" si="162"/>
        <v>8000</v>
      </c>
      <c r="H109" s="456">
        <f t="shared" si="137"/>
        <v>0</v>
      </c>
      <c r="I109" s="456">
        <f t="shared" si="137"/>
        <v>0</v>
      </c>
      <c r="J109" s="456">
        <f t="shared" ca="1" si="137"/>
        <v>32000</v>
      </c>
      <c r="K109" s="456">
        <f t="shared" si="137"/>
        <v>0</v>
      </c>
      <c r="L109" s="456">
        <f t="shared" si="137"/>
        <v>0</v>
      </c>
      <c r="M109" s="576">
        <f t="shared" si="137"/>
        <v>0</v>
      </c>
      <c r="N109" s="357">
        <f t="shared" ca="1" si="145"/>
        <v>8000</v>
      </c>
      <c r="O109" s="456">
        <f t="shared" ca="1" si="139"/>
        <v>1</v>
      </c>
      <c r="P109" s="537">
        <f t="shared" si="146"/>
        <v>8000</v>
      </c>
      <c r="Q109" s="456">
        <f t="shared" ref="Q109:AB109" ca="1" si="163">$P109*Q277</f>
        <v>0</v>
      </c>
      <c r="R109" s="456">
        <f t="shared" si="163"/>
        <v>0</v>
      </c>
      <c r="S109" s="456">
        <f t="shared" si="163"/>
        <v>8000</v>
      </c>
      <c r="T109" s="456">
        <f t="shared" si="163"/>
        <v>0</v>
      </c>
      <c r="U109" s="456">
        <f t="shared" si="163"/>
        <v>0</v>
      </c>
      <c r="V109" s="456">
        <f t="shared" si="163"/>
        <v>0</v>
      </c>
      <c r="W109" s="456">
        <f t="shared" si="163"/>
        <v>0</v>
      </c>
      <c r="X109" s="456">
        <f t="shared" si="163"/>
        <v>0</v>
      </c>
      <c r="Y109" s="456">
        <f t="shared" si="163"/>
        <v>0</v>
      </c>
      <c r="Z109" s="456">
        <f t="shared" si="163"/>
        <v>0</v>
      </c>
      <c r="AA109" s="456">
        <f t="shared" si="163"/>
        <v>0</v>
      </c>
      <c r="AB109" s="576">
        <f t="shared" si="163"/>
        <v>0</v>
      </c>
      <c r="AC109" s="595">
        <f>'List of equipment'!$Q$42</f>
        <v>2</v>
      </c>
      <c r="AD109" s="595" t="str">
        <f t="shared" ca="1" si="142"/>
        <v>True</v>
      </c>
    </row>
    <row r="110" spans="1:30" s="25" customFormat="1">
      <c r="A110" s="331"/>
      <c r="B110" s="453"/>
      <c r="C110" s="541" t="str">
        <f t="shared" si="134"/>
        <v>Oven</v>
      </c>
      <c r="D110" s="353"/>
      <c r="E110" s="357">
        <f t="shared" ca="1" si="143"/>
        <v>600</v>
      </c>
      <c r="F110" s="456">
        <f t="shared" ref="F110:G110" ca="1" si="164">F278</f>
        <v>1</v>
      </c>
      <c r="G110" s="507">
        <f t="shared" si="164"/>
        <v>600</v>
      </c>
      <c r="H110" s="456">
        <f t="shared" si="137"/>
        <v>0</v>
      </c>
      <c r="I110" s="456">
        <f t="shared" si="137"/>
        <v>0</v>
      </c>
      <c r="J110" s="456">
        <f t="shared" ca="1" si="137"/>
        <v>600</v>
      </c>
      <c r="K110" s="456">
        <f t="shared" si="137"/>
        <v>0</v>
      </c>
      <c r="L110" s="456">
        <f t="shared" si="137"/>
        <v>0</v>
      </c>
      <c r="M110" s="576">
        <f t="shared" si="137"/>
        <v>0</v>
      </c>
      <c r="N110" s="357">
        <f t="shared" ca="1" si="145"/>
        <v>600</v>
      </c>
      <c r="O110" s="456">
        <f t="shared" ca="1" si="139"/>
        <v>1</v>
      </c>
      <c r="P110" s="537">
        <f t="shared" si="146"/>
        <v>600</v>
      </c>
      <c r="Q110" s="456">
        <f t="shared" ref="Q110:AB110" ca="1" si="165">$P110*Q278</f>
        <v>600</v>
      </c>
      <c r="R110" s="456">
        <f t="shared" si="165"/>
        <v>0</v>
      </c>
      <c r="S110" s="456">
        <f t="shared" si="165"/>
        <v>0</v>
      </c>
      <c r="T110" s="456">
        <f t="shared" si="165"/>
        <v>0</v>
      </c>
      <c r="U110" s="456">
        <f t="shared" si="165"/>
        <v>0</v>
      </c>
      <c r="V110" s="456">
        <f t="shared" si="165"/>
        <v>0</v>
      </c>
      <c r="W110" s="456">
        <f t="shared" si="165"/>
        <v>0</v>
      </c>
      <c r="X110" s="456">
        <f t="shared" si="165"/>
        <v>0</v>
      </c>
      <c r="Y110" s="456">
        <f t="shared" si="165"/>
        <v>0</v>
      </c>
      <c r="Z110" s="456">
        <f t="shared" si="165"/>
        <v>0</v>
      </c>
      <c r="AA110" s="456">
        <f t="shared" si="165"/>
        <v>0</v>
      </c>
      <c r="AB110" s="576">
        <f t="shared" si="165"/>
        <v>0</v>
      </c>
      <c r="AC110" s="595">
        <f>'List of equipment'!$Q$43</f>
        <v>2</v>
      </c>
      <c r="AD110" s="595" t="str">
        <f t="shared" ca="1" si="142"/>
        <v>True</v>
      </c>
    </row>
    <row r="111" spans="1:30" s="25" customFormat="1">
      <c r="A111" s="331"/>
      <c r="B111" s="453"/>
      <c r="C111" s="541" t="str">
        <f t="shared" si="134"/>
        <v>Water bath</v>
      </c>
      <c r="D111" s="353"/>
      <c r="E111" s="357">
        <f t="shared" si="143"/>
        <v>200</v>
      </c>
      <c r="F111" s="456">
        <f t="shared" ref="F111:G111" si="166">F279</f>
        <v>1</v>
      </c>
      <c r="G111" s="507">
        <f t="shared" si="166"/>
        <v>200</v>
      </c>
      <c r="H111" s="456">
        <f t="shared" si="137"/>
        <v>0</v>
      </c>
      <c r="I111" s="456">
        <f t="shared" si="137"/>
        <v>0</v>
      </c>
      <c r="J111" s="456">
        <f t="shared" si="137"/>
        <v>200</v>
      </c>
      <c r="K111" s="456">
        <f t="shared" si="137"/>
        <v>0</v>
      </c>
      <c r="L111" s="456">
        <f t="shared" si="137"/>
        <v>0</v>
      </c>
      <c r="M111" s="576">
        <f t="shared" si="137"/>
        <v>0</v>
      </c>
      <c r="N111" s="357">
        <f t="shared" si="145"/>
        <v>200</v>
      </c>
      <c r="O111" s="456">
        <f t="shared" si="139"/>
        <v>1</v>
      </c>
      <c r="P111" s="537">
        <f t="shared" si="146"/>
        <v>200</v>
      </c>
      <c r="Q111" s="456">
        <f t="shared" ref="Q111:AB111" si="167">$P111*Q279</f>
        <v>200</v>
      </c>
      <c r="R111" s="456">
        <f t="shared" si="167"/>
        <v>0</v>
      </c>
      <c r="S111" s="456">
        <f t="shared" si="167"/>
        <v>0</v>
      </c>
      <c r="T111" s="456">
        <f t="shared" si="167"/>
        <v>0</v>
      </c>
      <c r="U111" s="456">
        <f t="shared" si="167"/>
        <v>0</v>
      </c>
      <c r="V111" s="456">
        <f t="shared" si="167"/>
        <v>0</v>
      </c>
      <c r="W111" s="456">
        <f t="shared" si="167"/>
        <v>0</v>
      </c>
      <c r="X111" s="456">
        <f t="shared" si="167"/>
        <v>0</v>
      </c>
      <c r="Y111" s="456">
        <f t="shared" si="167"/>
        <v>0</v>
      </c>
      <c r="Z111" s="456">
        <f t="shared" si="167"/>
        <v>0</v>
      </c>
      <c r="AA111" s="456">
        <f t="shared" si="167"/>
        <v>0</v>
      </c>
      <c r="AB111" s="576">
        <f t="shared" si="167"/>
        <v>0</v>
      </c>
      <c r="AC111" s="595">
        <f>'List of equipment'!$Q$44</f>
        <v>2</v>
      </c>
      <c r="AD111" s="595" t="str">
        <f t="shared" si="142"/>
        <v>True</v>
      </c>
    </row>
    <row r="112" spans="1:30" s="25" customFormat="1">
      <c r="A112" s="331"/>
      <c r="B112" s="453"/>
      <c r="C112" s="541" t="str">
        <f t="shared" si="134"/>
        <v>Microscrope</v>
      </c>
      <c r="D112" s="353"/>
      <c r="E112" s="357">
        <f t="shared" ca="1" si="143"/>
        <v>4500</v>
      </c>
      <c r="F112" s="456">
        <f t="shared" ref="F112:G112" ca="1" si="168">F280</f>
        <v>2</v>
      </c>
      <c r="G112" s="507">
        <f t="shared" si="168"/>
        <v>2250</v>
      </c>
      <c r="H112" s="456">
        <f t="shared" si="137"/>
        <v>0</v>
      </c>
      <c r="I112" s="456">
        <f t="shared" si="137"/>
        <v>0</v>
      </c>
      <c r="J112" s="456">
        <f t="shared" ca="1" si="137"/>
        <v>4500</v>
      </c>
      <c r="K112" s="456">
        <f t="shared" si="137"/>
        <v>0</v>
      </c>
      <c r="L112" s="456">
        <f t="shared" si="137"/>
        <v>0</v>
      </c>
      <c r="M112" s="576">
        <f t="shared" si="137"/>
        <v>0</v>
      </c>
      <c r="N112" s="357">
        <f t="shared" si="145"/>
        <v>13500</v>
      </c>
      <c r="O112" s="456">
        <f t="shared" si="139"/>
        <v>6</v>
      </c>
      <c r="P112" s="537">
        <f t="shared" si="146"/>
        <v>2250</v>
      </c>
      <c r="Q112" s="456">
        <f t="shared" ref="Q112:AB112" si="169">$P112*Q280</f>
        <v>0</v>
      </c>
      <c r="R112" s="456">
        <f t="shared" si="169"/>
        <v>0</v>
      </c>
      <c r="S112" s="456">
        <f t="shared" si="169"/>
        <v>2250</v>
      </c>
      <c r="T112" s="456">
        <f t="shared" si="169"/>
        <v>0</v>
      </c>
      <c r="U112" s="456">
        <f t="shared" si="169"/>
        <v>0</v>
      </c>
      <c r="V112" s="456">
        <f t="shared" si="169"/>
        <v>0</v>
      </c>
      <c r="W112" s="456">
        <f t="shared" si="169"/>
        <v>0</v>
      </c>
      <c r="X112" s="456">
        <f t="shared" si="169"/>
        <v>0</v>
      </c>
      <c r="Y112" s="456">
        <f t="shared" si="169"/>
        <v>0</v>
      </c>
      <c r="Z112" s="456">
        <f t="shared" si="169"/>
        <v>0</v>
      </c>
      <c r="AA112" s="456">
        <f t="shared" si="169"/>
        <v>0</v>
      </c>
      <c r="AB112" s="576">
        <f t="shared" si="169"/>
        <v>11250</v>
      </c>
      <c r="AC112" s="595">
        <f>'List of equipment'!$Q$45</f>
        <v>12</v>
      </c>
      <c r="AD112" s="595" t="str">
        <f t="shared" ca="1" si="142"/>
        <v>False</v>
      </c>
    </row>
    <row r="113" spans="1:30" s="25" customFormat="1">
      <c r="A113" s="331"/>
      <c r="B113" s="453"/>
      <c r="C113" s="541" t="str">
        <f t="shared" si="134"/>
        <v xml:space="preserve">MFM </v>
      </c>
      <c r="D113" s="353"/>
      <c r="E113" s="357">
        <f t="shared" si="143"/>
        <v>3000</v>
      </c>
      <c r="F113" s="456">
        <f t="shared" ref="F113:G113" si="170">F281</f>
        <v>1</v>
      </c>
      <c r="G113" s="507">
        <f t="shared" si="170"/>
        <v>3000</v>
      </c>
      <c r="H113" s="456">
        <f t="shared" si="137"/>
        <v>0</v>
      </c>
      <c r="I113" s="456">
        <f t="shared" si="137"/>
        <v>0</v>
      </c>
      <c r="J113" s="456">
        <f t="shared" si="137"/>
        <v>3000</v>
      </c>
      <c r="K113" s="456">
        <f t="shared" si="137"/>
        <v>0</v>
      </c>
      <c r="L113" s="456">
        <f t="shared" si="137"/>
        <v>0</v>
      </c>
      <c r="M113" s="576">
        <f t="shared" si="137"/>
        <v>0</v>
      </c>
      <c r="N113" s="357">
        <f t="shared" si="145"/>
        <v>6000</v>
      </c>
      <c r="O113" s="456">
        <f t="shared" si="139"/>
        <v>2</v>
      </c>
      <c r="P113" s="537">
        <f t="shared" si="146"/>
        <v>3000</v>
      </c>
      <c r="Q113" s="456">
        <f t="shared" ref="Q113:AB113" si="171">$P113*Q281</f>
        <v>0</v>
      </c>
      <c r="R113" s="456">
        <f t="shared" si="171"/>
        <v>0</v>
      </c>
      <c r="S113" s="456">
        <f t="shared" si="171"/>
        <v>3000</v>
      </c>
      <c r="T113" s="456">
        <f t="shared" si="171"/>
        <v>0</v>
      </c>
      <c r="U113" s="456">
        <f t="shared" si="171"/>
        <v>3000</v>
      </c>
      <c r="V113" s="456">
        <f t="shared" si="171"/>
        <v>0</v>
      </c>
      <c r="W113" s="456">
        <f t="shared" si="171"/>
        <v>0</v>
      </c>
      <c r="X113" s="456">
        <f t="shared" si="171"/>
        <v>0</v>
      </c>
      <c r="Y113" s="456">
        <f t="shared" si="171"/>
        <v>0</v>
      </c>
      <c r="Z113" s="456">
        <f t="shared" si="171"/>
        <v>0</v>
      </c>
      <c r="AA113" s="456">
        <f t="shared" si="171"/>
        <v>0</v>
      </c>
      <c r="AB113" s="576">
        <f t="shared" si="171"/>
        <v>0</v>
      </c>
      <c r="AC113" s="595">
        <f>'List of equipment'!$Q$46</f>
        <v>5</v>
      </c>
      <c r="AD113" s="595" t="str">
        <f t="shared" si="142"/>
        <v>False</v>
      </c>
    </row>
    <row r="114" spans="1:30" s="25" customFormat="1">
      <c r="A114" s="331"/>
      <c r="B114" s="453"/>
      <c r="C114" s="541" t="str">
        <f>C282</f>
        <v>Incubator</v>
      </c>
      <c r="D114" s="353"/>
      <c r="E114" s="357">
        <f t="shared" ca="1" si="143"/>
        <v>14000</v>
      </c>
      <c r="F114" s="456">
        <f t="shared" ref="F114:G114" ca="1" si="172">F282</f>
        <v>2</v>
      </c>
      <c r="G114" s="507">
        <f t="shared" si="172"/>
        <v>7000</v>
      </c>
      <c r="H114" s="456">
        <f t="shared" si="137"/>
        <v>0</v>
      </c>
      <c r="I114" s="456">
        <f t="shared" si="137"/>
        <v>0</v>
      </c>
      <c r="J114" s="456">
        <f t="shared" ca="1" si="137"/>
        <v>14000</v>
      </c>
      <c r="K114" s="456">
        <f t="shared" si="137"/>
        <v>0</v>
      </c>
      <c r="L114" s="456">
        <f t="shared" si="137"/>
        <v>0</v>
      </c>
      <c r="M114" s="576">
        <f t="shared" si="137"/>
        <v>0</v>
      </c>
      <c r="N114" s="357">
        <f t="shared" ca="1" si="145"/>
        <v>7000</v>
      </c>
      <c r="O114" s="456">
        <f ca="1">O282</f>
        <v>1</v>
      </c>
      <c r="P114" s="537">
        <f t="shared" si="146"/>
        <v>7000</v>
      </c>
      <c r="Q114" s="456">
        <f t="shared" ref="Q114:AB114" ca="1" si="173">$P114*Q282</f>
        <v>0</v>
      </c>
      <c r="R114" s="456">
        <f t="shared" si="173"/>
        <v>0</v>
      </c>
      <c r="S114" s="456">
        <f t="shared" si="173"/>
        <v>7000</v>
      </c>
      <c r="T114" s="456">
        <f t="shared" si="173"/>
        <v>0</v>
      </c>
      <c r="U114" s="456">
        <f t="shared" si="173"/>
        <v>0</v>
      </c>
      <c r="V114" s="456">
        <f t="shared" si="173"/>
        <v>0</v>
      </c>
      <c r="W114" s="456">
        <f t="shared" si="173"/>
        <v>0</v>
      </c>
      <c r="X114" s="456">
        <f t="shared" si="173"/>
        <v>0</v>
      </c>
      <c r="Y114" s="456">
        <f t="shared" si="173"/>
        <v>0</v>
      </c>
      <c r="Z114" s="456">
        <f t="shared" si="173"/>
        <v>0</v>
      </c>
      <c r="AA114" s="456">
        <f t="shared" si="173"/>
        <v>0</v>
      </c>
      <c r="AB114" s="576">
        <f t="shared" si="173"/>
        <v>0</v>
      </c>
      <c r="AC114" s="595">
        <f>'List of equipment'!$Q$107</f>
        <v>2</v>
      </c>
      <c r="AD114" s="595" t="str">
        <f t="shared" ca="1" si="142"/>
        <v>True</v>
      </c>
    </row>
    <row r="115" spans="1:30" s="25" customFormat="1">
      <c r="A115" s="331"/>
      <c r="B115" s="453"/>
      <c r="C115" s="541" t="str">
        <f t="shared" ref="C115:C145" si="174">C284</f>
        <v>Laboratory - Biochemistry</v>
      </c>
      <c r="D115" s="353"/>
      <c r="E115" s="357">
        <f t="shared" si="143"/>
        <v>0</v>
      </c>
      <c r="F115" s="456">
        <f t="shared" ref="F115:G115" si="175">F284</f>
        <v>0</v>
      </c>
      <c r="G115" s="507">
        <f t="shared" si="175"/>
        <v>0</v>
      </c>
      <c r="H115" s="456">
        <f t="shared" ref="H115:M124" si="176">$G115*H284</f>
        <v>0</v>
      </c>
      <c r="I115" s="456">
        <f t="shared" si="176"/>
        <v>0</v>
      </c>
      <c r="J115" s="456">
        <f t="shared" si="176"/>
        <v>0</v>
      </c>
      <c r="K115" s="456">
        <f t="shared" si="176"/>
        <v>0</v>
      </c>
      <c r="L115" s="456">
        <f t="shared" si="176"/>
        <v>0</v>
      </c>
      <c r="M115" s="576">
        <f t="shared" si="176"/>
        <v>0</v>
      </c>
      <c r="N115" s="357">
        <f t="shared" si="145"/>
        <v>0</v>
      </c>
      <c r="O115" s="456">
        <f t="shared" ref="O115:O145" si="177">O284</f>
        <v>0</v>
      </c>
      <c r="P115" s="537">
        <f t="shared" si="146"/>
        <v>0</v>
      </c>
      <c r="Q115" s="456">
        <f t="shared" ref="Q115:AB115" si="178">$P115*Q284</f>
        <v>0</v>
      </c>
      <c r="R115" s="456">
        <f t="shared" si="178"/>
        <v>0</v>
      </c>
      <c r="S115" s="456">
        <f t="shared" si="178"/>
        <v>0</v>
      </c>
      <c r="T115" s="456">
        <f t="shared" si="178"/>
        <v>0</v>
      </c>
      <c r="U115" s="456">
        <f t="shared" si="178"/>
        <v>0</v>
      </c>
      <c r="V115" s="456">
        <f t="shared" si="178"/>
        <v>0</v>
      </c>
      <c r="W115" s="456">
        <f t="shared" si="178"/>
        <v>0</v>
      </c>
      <c r="X115" s="456">
        <f t="shared" si="178"/>
        <v>0</v>
      </c>
      <c r="Y115" s="456">
        <f t="shared" si="178"/>
        <v>0</v>
      </c>
      <c r="Z115" s="456">
        <f t="shared" si="178"/>
        <v>0</v>
      </c>
      <c r="AA115" s="456">
        <f t="shared" si="178"/>
        <v>0</v>
      </c>
      <c r="AB115" s="576">
        <f t="shared" si="178"/>
        <v>0</v>
      </c>
      <c r="AC115" s="595"/>
      <c r="AD115" s="595"/>
    </row>
    <row r="116" spans="1:30" s="25" customFormat="1">
      <c r="A116" s="331"/>
      <c r="B116" s="453"/>
      <c r="C116" s="541" t="str">
        <f t="shared" si="174"/>
        <v>Automated chemistry analyzer</v>
      </c>
      <c r="D116" s="353"/>
      <c r="E116" s="357">
        <f t="shared" si="143"/>
        <v>200000</v>
      </c>
      <c r="F116" s="456">
        <f t="shared" ref="F116:G116" si="179">F285</f>
        <v>1</v>
      </c>
      <c r="G116" s="507">
        <f t="shared" si="179"/>
        <v>200000</v>
      </c>
      <c r="H116" s="456">
        <f t="shared" si="176"/>
        <v>0</v>
      </c>
      <c r="I116" s="456">
        <f t="shared" si="176"/>
        <v>0</v>
      </c>
      <c r="J116" s="456">
        <f t="shared" si="176"/>
        <v>200000</v>
      </c>
      <c r="K116" s="456">
        <f t="shared" si="176"/>
        <v>0</v>
      </c>
      <c r="L116" s="456">
        <f t="shared" si="176"/>
        <v>0</v>
      </c>
      <c r="M116" s="576">
        <f t="shared" si="176"/>
        <v>0</v>
      </c>
      <c r="N116" s="357">
        <f t="shared" si="145"/>
        <v>200000</v>
      </c>
      <c r="O116" s="456">
        <f t="shared" si="177"/>
        <v>1</v>
      </c>
      <c r="P116" s="537">
        <f t="shared" si="146"/>
        <v>200000</v>
      </c>
      <c r="Q116" s="456">
        <f t="shared" ref="Q116:AB116" si="180">$P116*Q285</f>
        <v>0</v>
      </c>
      <c r="R116" s="456">
        <f t="shared" si="180"/>
        <v>0</v>
      </c>
      <c r="S116" s="456">
        <f t="shared" si="180"/>
        <v>200000</v>
      </c>
      <c r="T116" s="456">
        <f t="shared" si="180"/>
        <v>0</v>
      </c>
      <c r="U116" s="456">
        <f t="shared" si="180"/>
        <v>0</v>
      </c>
      <c r="V116" s="456">
        <f t="shared" si="180"/>
        <v>0</v>
      </c>
      <c r="W116" s="456">
        <f t="shared" si="180"/>
        <v>0</v>
      </c>
      <c r="X116" s="456">
        <f t="shared" si="180"/>
        <v>0</v>
      </c>
      <c r="Y116" s="456">
        <f t="shared" si="180"/>
        <v>0</v>
      </c>
      <c r="Z116" s="456">
        <f t="shared" si="180"/>
        <v>0</v>
      </c>
      <c r="AA116" s="456">
        <f t="shared" si="180"/>
        <v>0</v>
      </c>
      <c r="AB116" s="576">
        <f t="shared" si="180"/>
        <v>0</v>
      </c>
      <c r="AC116" s="595">
        <f>'List of equipment'!$Q$100</f>
        <v>1</v>
      </c>
      <c r="AD116" s="595" t="str">
        <f t="shared" ref="AD116:AD122" si="181">IF(SUM(F116,O116)-AC116&gt;=0,"True","False")</f>
        <v>True</v>
      </c>
    </row>
    <row r="117" spans="1:30" s="25" customFormat="1">
      <c r="A117" s="331"/>
      <c r="B117" s="453"/>
      <c r="C117" s="541" t="str">
        <f t="shared" si="174"/>
        <v>Semi-automated chemistry analyzer</v>
      </c>
      <c r="D117" s="353"/>
      <c r="E117" s="357">
        <f t="shared" si="143"/>
        <v>116000</v>
      </c>
      <c r="F117" s="456">
        <f t="shared" ref="F117:G117" si="182">F286</f>
        <v>1</v>
      </c>
      <c r="G117" s="507">
        <f t="shared" si="182"/>
        <v>116000</v>
      </c>
      <c r="H117" s="456">
        <f t="shared" si="176"/>
        <v>0</v>
      </c>
      <c r="I117" s="456">
        <f t="shared" si="176"/>
        <v>0</v>
      </c>
      <c r="J117" s="456">
        <f t="shared" si="176"/>
        <v>116000</v>
      </c>
      <c r="K117" s="456">
        <f t="shared" si="176"/>
        <v>0</v>
      </c>
      <c r="L117" s="456">
        <f t="shared" si="176"/>
        <v>0</v>
      </c>
      <c r="M117" s="576">
        <f t="shared" si="176"/>
        <v>0</v>
      </c>
      <c r="N117" s="357">
        <f t="shared" si="145"/>
        <v>232000</v>
      </c>
      <c r="O117" s="456">
        <f t="shared" si="177"/>
        <v>2</v>
      </c>
      <c r="P117" s="537">
        <f t="shared" si="146"/>
        <v>116000</v>
      </c>
      <c r="Q117" s="456">
        <f t="shared" ref="Q117:AB117" si="183">$P117*Q286</f>
        <v>0</v>
      </c>
      <c r="R117" s="456">
        <f t="shared" si="183"/>
        <v>0</v>
      </c>
      <c r="S117" s="456">
        <f t="shared" si="183"/>
        <v>116000</v>
      </c>
      <c r="T117" s="456">
        <f t="shared" si="183"/>
        <v>0</v>
      </c>
      <c r="U117" s="456">
        <f t="shared" si="183"/>
        <v>0</v>
      </c>
      <c r="V117" s="456">
        <f t="shared" si="183"/>
        <v>116000</v>
      </c>
      <c r="W117" s="456">
        <f t="shared" si="183"/>
        <v>0</v>
      </c>
      <c r="X117" s="456">
        <f t="shared" si="183"/>
        <v>0</v>
      </c>
      <c r="Y117" s="456">
        <f t="shared" si="183"/>
        <v>0</v>
      </c>
      <c r="Z117" s="456">
        <f t="shared" si="183"/>
        <v>0</v>
      </c>
      <c r="AA117" s="456">
        <f t="shared" si="183"/>
        <v>0</v>
      </c>
      <c r="AB117" s="576">
        <f t="shared" si="183"/>
        <v>0</v>
      </c>
      <c r="AC117" s="595">
        <f>'List of equipment'!$Q$101</f>
        <v>1</v>
      </c>
      <c r="AD117" s="595" t="str">
        <f t="shared" si="181"/>
        <v>True</v>
      </c>
    </row>
    <row r="118" spans="1:30" s="25" customFormat="1">
      <c r="A118" s="331"/>
      <c r="B118" s="453"/>
      <c r="C118" s="541" t="str">
        <f t="shared" si="174"/>
        <v>Blood gas analyzer</v>
      </c>
      <c r="D118" s="353"/>
      <c r="E118" s="357">
        <f t="shared" si="143"/>
        <v>2000</v>
      </c>
      <c r="F118" s="456">
        <f t="shared" ref="F118:G118" si="184">F287</f>
        <v>1</v>
      </c>
      <c r="G118" s="507">
        <f t="shared" si="184"/>
        <v>2000</v>
      </c>
      <c r="H118" s="456">
        <f t="shared" si="176"/>
        <v>0</v>
      </c>
      <c r="I118" s="456">
        <f t="shared" si="176"/>
        <v>0</v>
      </c>
      <c r="J118" s="456">
        <f t="shared" si="176"/>
        <v>2000</v>
      </c>
      <c r="K118" s="456">
        <f t="shared" si="176"/>
        <v>0</v>
      </c>
      <c r="L118" s="456">
        <f t="shared" si="176"/>
        <v>0</v>
      </c>
      <c r="M118" s="576">
        <f t="shared" si="176"/>
        <v>0</v>
      </c>
      <c r="N118" s="357">
        <f t="shared" si="145"/>
        <v>2000</v>
      </c>
      <c r="O118" s="456">
        <f t="shared" si="177"/>
        <v>1</v>
      </c>
      <c r="P118" s="537">
        <f t="shared" si="146"/>
        <v>2000</v>
      </c>
      <c r="Q118" s="456">
        <f t="shared" ref="Q118:AB118" si="185">$P118*Q287</f>
        <v>0</v>
      </c>
      <c r="R118" s="456">
        <f t="shared" si="185"/>
        <v>0</v>
      </c>
      <c r="S118" s="456">
        <f t="shared" si="185"/>
        <v>2000</v>
      </c>
      <c r="T118" s="456">
        <f t="shared" si="185"/>
        <v>0</v>
      </c>
      <c r="U118" s="456">
        <f t="shared" si="185"/>
        <v>0</v>
      </c>
      <c r="V118" s="456">
        <f t="shared" si="185"/>
        <v>0</v>
      </c>
      <c r="W118" s="456">
        <f t="shared" si="185"/>
        <v>0</v>
      </c>
      <c r="X118" s="456">
        <f t="shared" si="185"/>
        <v>0</v>
      </c>
      <c r="Y118" s="456">
        <f t="shared" si="185"/>
        <v>0</v>
      </c>
      <c r="Z118" s="456">
        <f t="shared" si="185"/>
        <v>0</v>
      </c>
      <c r="AA118" s="456">
        <f t="shared" si="185"/>
        <v>0</v>
      </c>
      <c r="AB118" s="576">
        <f t="shared" si="185"/>
        <v>0</v>
      </c>
      <c r="AC118" s="595">
        <f>'List of equipment'!$Q$102</f>
        <v>1</v>
      </c>
      <c r="AD118" s="595" t="str">
        <f t="shared" si="181"/>
        <v>True</v>
      </c>
    </row>
    <row r="119" spans="1:30" s="25" customFormat="1">
      <c r="A119" s="331"/>
      <c r="B119" s="453"/>
      <c r="C119" s="541" t="str">
        <f t="shared" si="174"/>
        <v>Electrolyte analyzer</v>
      </c>
      <c r="D119" s="353"/>
      <c r="E119" s="357">
        <f t="shared" si="143"/>
        <v>700</v>
      </c>
      <c r="F119" s="456">
        <f t="shared" ref="F119:G119" si="186">F288</f>
        <v>1</v>
      </c>
      <c r="G119" s="507">
        <f t="shared" si="186"/>
        <v>700</v>
      </c>
      <c r="H119" s="456">
        <f t="shared" si="176"/>
        <v>0</v>
      </c>
      <c r="I119" s="456">
        <f t="shared" si="176"/>
        <v>0</v>
      </c>
      <c r="J119" s="456">
        <f t="shared" si="176"/>
        <v>700</v>
      </c>
      <c r="K119" s="456">
        <f t="shared" si="176"/>
        <v>0</v>
      </c>
      <c r="L119" s="456">
        <f t="shared" si="176"/>
        <v>0</v>
      </c>
      <c r="M119" s="576">
        <f t="shared" si="176"/>
        <v>0</v>
      </c>
      <c r="N119" s="357">
        <f t="shared" si="145"/>
        <v>700</v>
      </c>
      <c r="O119" s="456">
        <f t="shared" si="177"/>
        <v>1</v>
      </c>
      <c r="P119" s="537">
        <f t="shared" si="146"/>
        <v>700</v>
      </c>
      <c r="Q119" s="456">
        <f t="shared" ref="Q119:AB119" si="187">$P119*Q288</f>
        <v>0</v>
      </c>
      <c r="R119" s="456">
        <f t="shared" si="187"/>
        <v>0</v>
      </c>
      <c r="S119" s="456">
        <f t="shared" si="187"/>
        <v>700</v>
      </c>
      <c r="T119" s="456">
        <f t="shared" si="187"/>
        <v>0</v>
      </c>
      <c r="U119" s="456">
        <f t="shared" si="187"/>
        <v>0</v>
      </c>
      <c r="V119" s="456">
        <f t="shared" si="187"/>
        <v>0</v>
      </c>
      <c r="W119" s="456">
        <f t="shared" si="187"/>
        <v>0</v>
      </c>
      <c r="X119" s="456">
        <f t="shared" si="187"/>
        <v>0</v>
      </c>
      <c r="Y119" s="456">
        <f t="shared" si="187"/>
        <v>0</v>
      </c>
      <c r="Z119" s="456">
        <f t="shared" si="187"/>
        <v>0</v>
      </c>
      <c r="AA119" s="456">
        <f t="shared" si="187"/>
        <v>0</v>
      </c>
      <c r="AB119" s="576">
        <f t="shared" si="187"/>
        <v>0</v>
      </c>
      <c r="AC119" s="595">
        <f>'List of equipment'!$Q$103</f>
        <v>1</v>
      </c>
      <c r="AD119" s="595" t="str">
        <f t="shared" si="181"/>
        <v>True</v>
      </c>
    </row>
    <row r="120" spans="1:30" s="25" customFormat="1">
      <c r="A120" s="331"/>
      <c r="B120" s="453"/>
      <c r="C120" s="541" t="str">
        <f t="shared" si="174"/>
        <v>Automated urine analyzer</v>
      </c>
      <c r="D120" s="353"/>
      <c r="E120" s="357">
        <f t="shared" si="143"/>
        <v>500</v>
      </c>
      <c r="F120" s="456">
        <f t="shared" ref="F120:G120" si="188">F289</f>
        <v>1</v>
      </c>
      <c r="G120" s="507">
        <f t="shared" si="188"/>
        <v>500</v>
      </c>
      <c r="H120" s="456">
        <f t="shared" si="176"/>
        <v>0</v>
      </c>
      <c r="I120" s="456">
        <f t="shared" si="176"/>
        <v>0</v>
      </c>
      <c r="J120" s="456">
        <f t="shared" si="176"/>
        <v>500</v>
      </c>
      <c r="K120" s="456">
        <f t="shared" si="176"/>
        <v>0</v>
      </c>
      <c r="L120" s="456">
        <f t="shared" si="176"/>
        <v>0</v>
      </c>
      <c r="M120" s="576">
        <f t="shared" si="176"/>
        <v>0</v>
      </c>
      <c r="N120" s="357">
        <f t="shared" si="145"/>
        <v>500</v>
      </c>
      <c r="O120" s="456">
        <f t="shared" si="177"/>
        <v>1</v>
      </c>
      <c r="P120" s="537">
        <f t="shared" si="146"/>
        <v>500</v>
      </c>
      <c r="Q120" s="456">
        <f t="shared" ref="Q120:AB120" si="189">$P120*Q289</f>
        <v>0</v>
      </c>
      <c r="R120" s="456">
        <f t="shared" si="189"/>
        <v>0</v>
      </c>
      <c r="S120" s="456">
        <f t="shared" si="189"/>
        <v>0</v>
      </c>
      <c r="T120" s="456">
        <f t="shared" si="189"/>
        <v>0</v>
      </c>
      <c r="U120" s="456">
        <f t="shared" si="189"/>
        <v>500</v>
      </c>
      <c r="V120" s="456">
        <f t="shared" si="189"/>
        <v>0</v>
      </c>
      <c r="W120" s="456">
        <f t="shared" si="189"/>
        <v>0</v>
      </c>
      <c r="X120" s="456">
        <f t="shared" si="189"/>
        <v>0</v>
      </c>
      <c r="Y120" s="456">
        <f t="shared" si="189"/>
        <v>0</v>
      </c>
      <c r="Z120" s="456">
        <f t="shared" si="189"/>
        <v>0</v>
      </c>
      <c r="AA120" s="456">
        <f t="shared" si="189"/>
        <v>0</v>
      </c>
      <c r="AB120" s="576">
        <f t="shared" si="189"/>
        <v>0</v>
      </c>
      <c r="AC120" s="595">
        <f>'List of equipment'!$Q$105</f>
        <v>1</v>
      </c>
      <c r="AD120" s="595" t="str">
        <f t="shared" si="181"/>
        <v>True</v>
      </c>
    </row>
    <row r="121" spans="1:30" s="25" customFormat="1">
      <c r="A121" s="331"/>
      <c r="B121" s="453"/>
      <c r="C121" s="541" t="str">
        <f t="shared" si="174"/>
        <v>Electropheris machine</v>
      </c>
      <c r="D121" s="353"/>
      <c r="E121" s="357">
        <f t="shared" ca="1" si="143"/>
        <v>500</v>
      </c>
      <c r="F121" s="456">
        <f t="shared" ref="F121:G121" ca="1" si="190">F290</f>
        <v>1</v>
      </c>
      <c r="G121" s="507">
        <f t="shared" si="190"/>
        <v>500</v>
      </c>
      <c r="H121" s="456">
        <f t="shared" si="176"/>
        <v>0</v>
      </c>
      <c r="I121" s="456">
        <f t="shared" si="176"/>
        <v>0</v>
      </c>
      <c r="J121" s="456">
        <f t="shared" ca="1" si="176"/>
        <v>500</v>
      </c>
      <c r="K121" s="456">
        <f t="shared" si="176"/>
        <v>0</v>
      </c>
      <c r="L121" s="456">
        <f t="shared" si="176"/>
        <v>0</v>
      </c>
      <c r="M121" s="576">
        <f t="shared" si="176"/>
        <v>0</v>
      </c>
      <c r="N121" s="357">
        <f t="shared" ca="1" si="145"/>
        <v>500</v>
      </c>
      <c r="O121" s="456">
        <f t="shared" ca="1" si="177"/>
        <v>1</v>
      </c>
      <c r="P121" s="537">
        <f t="shared" si="146"/>
        <v>500</v>
      </c>
      <c r="Q121" s="456">
        <f t="shared" ref="Q121:AB121" ca="1" si="191">$P121*Q290</f>
        <v>0</v>
      </c>
      <c r="R121" s="456">
        <f t="shared" si="191"/>
        <v>0</v>
      </c>
      <c r="S121" s="456">
        <f t="shared" si="191"/>
        <v>500</v>
      </c>
      <c r="T121" s="456">
        <f t="shared" si="191"/>
        <v>0</v>
      </c>
      <c r="U121" s="456">
        <f t="shared" si="191"/>
        <v>0</v>
      </c>
      <c r="V121" s="456">
        <f t="shared" si="191"/>
        <v>0</v>
      </c>
      <c r="W121" s="456">
        <f t="shared" si="191"/>
        <v>0</v>
      </c>
      <c r="X121" s="456">
        <f t="shared" si="191"/>
        <v>0</v>
      </c>
      <c r="Y121" s="456">
        <f t="shared" si="191"/>
        <v>0</v>
      </c>
      <c r="Z121" s="456">
        <f t="shared" si="191"/>
        <v>0</v>
      </c>
      <c r="AA121" s="456">
        <f t="shared" si="191"/>
        <v>0</v>
      </c>
      <c r="AB121" s="576">
        <f t="shared" si="191"/>
        <v>0</v>
      </c>
      <c r="AC121" s="595">
        <f>'List of equipment'!$Q$106</f>
        <v>1</v>
      </c>
      <c r="AD121" s="595" t="str">
        <f t="shared" ca="1" si="181"/>
        <v>True</v>
      </c>
    </row>
    <row r="122" spans="1:30" s="25" customFormat="1">
      <c r="A122" s="331"/>
      <c r="B122" s="453"/>
      <c r="C122" s="541" t="str">
        <f t="shared" si="174"/>
        <v>Spectrophotometer</v>
      </c>
      <c r="D122" s="353"/>
      <c r="E122" s="357">
        <f t="shared" ca="1" si="143"/>
        <v>36000</v>
      </c>
      <c r="F122" s="456">
        <f t="shared" ref="F122:G122" ca="1" si="192">F291</f>
        <v>1</v>
      </c>
      <c r="G122" s="507">
        <f t="shared" si="192"/>
        <v>36000</v>
      </c>
      <c r="H122" s="456">
        <f t="shared" si="176"/>
        <v>0</v>
      </c>
      <c r="I122" s="456">
        <f t="shared" si="176"/>
        <v>0</v>
      </c>
      <c r="J122" s="456">
        <f t="shared" ca="1" si="176"/>
        <v>36000</v>
      </c>
      <c r="K122" s="456">
        <f t="shared" si="176"/>
        <v>0</v>
      </c>
      <c r="L122" s="456">
        <f t="shared" si="176"/>
        <v>0</v>
      </c>
      <c r="M122" s="576">
        <f t="shared" si="176"/>
        <v>0</v>
      </c>
      <c r="N122" s="357">
        <f t="shared" ca="1" si="145"/>
        <v>36000</v>
      </c>
      <c r="O122" s="456">
        <f t="shared" si="177"/>
        <v>0</v>
      </c>
      <c r="P122" s="537">
        <f t="shared" si="146"/>
        <v>36000</v>
      </c>
      <c r="Q122" s="456">
        <f t="shared" ref="Q122:AB122" ca="1" si="193">$P122*Q291</f>
        <v>0</v>
      </c>
      <c r="R122" s="456">
        <f t="shared" si="193"/>
        <v>0</v>
      </c>
      <c r="S122" s="456">
        <f t="shared" si="193"/>
        <v>36000</v>
      </c>
      <c r="T122" s="456">
        <f t="shared" si="193"/>
        <v>0</v>
      </c>
      <c r="U122" s="456">
        <f t="shared" si="193"/>
        <v>0</v>
      </c>
      <c r="V122" s="456">
        <f t="shared" si="193"/>
        <v>0</v>
      </c>
      <c r="W122" s="456">
        <f t="shared" si="193"/>
        <v>0</v>
      </c>
      <c r="X122" s="456">
        <f t="shared" si="193"/>
        <v>0</v>
      </c>
      <c r="Y122" s="456">
        <f t="shared" si="193"/>
        <v>0</v>
      </c>
      <c r="Z122" s="456">
        <f t="shared" si="193"/>
        <v>0</v>
      </c>
      <c r="AA122" s="456">
        <f t="shared" si="193"/>
        <v>0</v>
      </c>
      <c r="AB122" s="576">
        <f t="shared" si="193"/>
        <v>0</v>
      </c>
      <c r="AC122" s="595"/>
      <c r="AD122" s="595" t="str">
        <f t="shared" ca="1" si="181"/>
        <v>True</v>
      </c>
    </row>
    <row r="123" spans="1:30" s="25" customFormat="1">
      <c r="A123" s="331"/>
      <c r="B123" s="453"/>
      <c r="C123" s="541" t="str">
        <f t="shared" si="174"/>
        <v>Laboratory - Hematology</v>
      </c>
      <c r="D123" s="353"/>
      <c r="E123" s="357">
        <f t="shared" si="143"/>
        <v>0</v>
      </c>
      <c r="F123" s="456">
        <f t="shared" ref="F123:G123" si="194">F292</f>
        <v>0</v>
      </c>
      <c r="G123" s="507">
        <f t="shared" si="194"/>
        <v>0</v>
      </c>
      <c r="H123" s="456">
        <f t="shared" si="176"/>
        <v>0</v>
      </c>
      <c r="I123" s="456">
        <f t="shared" si="176"/>
        <v>0</v>
      </c>
      <c r="J123" s="456">
        <f t="shared" si="176"/>
        <v>0</v>
      </c>
      <c r="K123" s="456">
        <f t="shared" si="176"/>
        <v>0</v>
      </c>
      <c r="L123" s="456">
        <f t="shared" si="176"/>
        <v>0</v>
      </c>
      <c r="M123" s="576">
        <f t="shared" si="176"/>
        <v>0</v>
      </c>
      <c r="N123" s="357">
        <f t="shared" si="145"/>
        <v>0</v>
      </c>
      <c r="O123" s="456">
        <f t="shared" si="177"/>
        <v>0</v>
      </c>
      <c r="P123" s="537">
        <f t="shared" si="146"/>
        <v>0</v>
      </c>
      <c r="Q123" s="456">
        <f t="shared" ref="Q123:AB123" si="195">$P123*Q292</f>
        <v>0</v>
      </c>
      <c r="R123" s="456">
        <f t="shared" si="195"/>
        <v>0</v>
      </c>
      <c r="S123" s="456">
        <f t="shared" si="195"/>
        <v>0</v>
      </c>
      <c r="T123" s="456">
        <f t="shared" si="195"/>
        <v>0</v>
      </c>
      <c r="U123" s="456">
        <f t="shared" si="195"/>
        <v>0</v>
      </c>
      <c r="V123" s="456">
        <f t="shared" si="195"/>
        <v>0</v>
      </c>
      <c r="W123" s="456">
        <f t="shared" si="195"/>
        <v>0</v>
      </c>
      <c r="X123" s="456">
        <f t="shared" si="195"/>
        <v>0</v>
      </c>
      <c r="Y123" s="456">
        <f t="shared" si="195"/>
        <v>0</v>
      </c>
      <c r="Z123" s="456">
        <f t="shared" si="195"/>
        <v>0</v>
      </c>
      <c r="AA123" s="456">
        <f t="shared" si="195"/>
        <v>0</v>
      </c>
      <c r="AB123" s="576">
        <f t="shared" si="195"/>
        <v>0</v>
      </c>
      <c r="AC123" s="595"/>
      <c r="AD123" s="595"/>
    </row>
    <row r="124" spans="1:30" s="25" customFormat="1">
      <c r="A124" s="331"/>
      <c r="B124" s="453"/>
      <c r="C124" s="541" t="str">
        <f t="shared" si="174"/>
        <v>Automated hematology analyzer</v>
      </c>
      <c r="D124" s="353"/>
      <c r="E124" s="357">
        <f t="shared" si="143"/>
        <v>200000</v>
      </c>
      <c r="F124" s="456">
        <f t="shared" ref="F124:G124" si="196">F293</f>
        <v>1</v>
      </c>
      <c r="G124" s="507">
        <f t="shared" si="196"/>
        <v>200000</v>
      </c>
      <c r="H124" s="456">
        <f t="shared" si="176"/>
        <v>0</v>
      </c>
      <c r="I124" s="456">
        <f t="shared" si="176"/>
        <v>0</v>
      </c>
      <c r="J124" s="456">
        <f t="shared" si="176"/>
        <v>200000</v>
      </c>
      <c r="K124" s="456">
        <f t="shared" si="176"/>
        <v>0</v>
      </c>
      <c r="L124" s="456">
        <f t="shared" si="176"/>
        <v>0</v>
      </c>
      <c r="M124" s="576">
        <f t="shared" si="176"/>
        <v>0</v>
      </c>
      <c r="N124" s="357">
        <f t="shared" si="145"/>
        <v>200000</v>
      </c>
      <c r="O124" s="456">
        <f t="shared" si="177"/>
        <v>1</v>
      </c>
      <c r="P124" s="537">
        <f t="shared" si="146"/>
        <v>200000</v>
      </c>
      <c r="Q124" s="456">
        <f t="shared" ref="Q124:AB124" si="197">$P124*Q293</f>
        <v>0</v>
      </c>
      <c r="R124" s="456">
        <f t="shared" si="197"/>
        <v>0</v>
      </c>
      <c r="S124" s="456">
        <f t="shared" si="197"/>
        <v>200000</v>
      </c>
      <c r="T124" s="456">
        <f t="shared" si="197"/>
        <v>0</v>
      </c>
      <c r="U124" s="456">
        <f t="shared" si="197"/>
        <v>0</v>
      </c>
      <c r="V124" s="456">
        <f t="shared" si="197"/>
        <v>0</v>
      </c>
      <c r="W124" s="456">
        <f t="shared" si="197"/>
        <v>0</v>
      </c>
      <c r="X124" s="456">
        <f t="shared" si="197"/>
        <v>0</v>
      </c>
      <c r="Y124" s="456">
        <f t="shared" si="197"/>
        <v>0</v>
      </c>
      <c r="Z124" s="456">
        <f t="shared" si="197"/>
        <v>0</v>
      </c>
      <c r="AA124" s="456">
        <f t="shared" si="197"/>
        <v>0</v>
      </c>
      <c r="AB124" s="576">
        <f t="shared" si="197"/>
        <v>0</v>
      </c>
      <c r="AC124" s="595">
        <f>'List of equipment'!$Q$49</f>
        <v>1</v>
      </c>
      <c r="AD124" s="595" t="str">
        <f t="shared" ref="AD124:AD130" si="198">IF(SUM(F124,O124)-AC124&gt;=0,"True","False")</f>
        <v>True</v>
      </c>
    </row>
    <row r="125" spans="1:30" s="25" customFormat="1">
      <c r="A125" s="331"/>
      <c r="B125" s="453"/>
      <c r="C125" s="541" t="str">
        <f t="shared" si="174"/>
        <v>Semi-auto hematology analyzer</v>
      </c>
      <c r="D125" s="353"/>
      <c r="E125" s="357">
        <f t="shared" si="143"/>
        <v>5000</v>
      </c>
      <c r="F125" s="456">
        <f t="shared" ref="F125:G125" si="199">F294</f>
        <v>1</v>
      </c>
      <c r="G125" s="507">
        <f t="shared" si="199"/>
        <v>5000</v>
      </c>
      <c r="H125" s="456">
        <f t="shared" ref="H125:M134" si="200">$G125*H294</f>
        <v>0</v>
      </c>
      <c r="I125" s="456">
        <f t="shared" si="200"/>
        <v>0</v>
      </c>
      <c r="J125" s="456">
        <f t="shared" si="200"/>
        <v>5000</v>
      </c>
      <c r="K125" s="456">
        <f t="shared" si="200"/>
        <v>0</v>
      </c>
      <c r="L125" s="456">
        <f t="shared" si="200"/>
        <v>0</v>
      </c>
      <c r="M125" s="576">
        <f t="shared" si="200"/>
        <v>0</v>
      </c>
      <c r="N125" s="357">
        <f t="shared" si="145"/>
        <v>10000</v>
      </c>
      <c r="O125" s="456">
        <f t="shared" si="177"/>
        <v>2</v>
      </c>
      <c r="P125" s="537">
        <f t="shared" si="146"/>
        <v>5000</v>
      </c>
      <c r="Q125" s="456">
        <f t="shared" ref="Q125:AB125" si="201">$P125*Q294</f>
        <v>0</v>
      </c>
      <c r="R125" s="456">
        <f t="shared" si="201"/>
        <v>0</v>
      </c>
      <c r="S125" s="456">
        <f t="shared" si="201"/>
        <v>5000</v>
      </c>
      <c r="T125" s="456">
        <f t="shared" si="201"/>
        <v>0</v>
      </c>
      <c r="U125" s="456">
        <f t="shared" si="201"/>
        <v>0</v>
      </c>
      <c r="V125" s="456">
        <f t="shared" si="201"/>
        <v>0</v>
      </c>
      <c r="W125" s="456">
        <f t="shared" si="201"/>
        <v>0</v>
      </c>
      <c r="X125" s="456">
        <f t="shared" si="201"/>
        <v>0</v>
      </c>
      <c r="Y125" s="456">
        <f t="shared" si="201"/>
        <v>0</v>
      </c>
      <c r="Z125" s="456">
        <f t="shared" si="201"/>
        <v>0</v>
      </c>
      <c r="AA125" s="456">
        <f t="shared" si="201"/>
        <v>0</v>
      </c>
      <c r="AB125" s="576">
        <f t="shared" si="201"/>
        <v>5000</v>
      </c>
      <c r="AC125" s="595">
        <f>'List of equipment'!$Q$50</f>
        <v>1</v>
      </c>
      <c r="AD125" s="595" t="str">
        <f t="shared" si="198"/>
        <v>True</v>
      </c>
    </row>
    <row r="126" spans="1:30" s="25" customFormat="1">
      <c r="A126" s="331"/>
      <c r="B126" s="453"/>
      <c r="C126" s="541" t="str">
        <f t="shared" si="174"/>
        <v>Automated Coagulation Instrument</v>
      </c>
      <c r="D126" s="353"/>
      <c r="E126" s="357">
        <f t="shared" si="143"/>
        <v>1070</v>
      </c>
      <c r="F126" s="456">
        <f t="shared" ref="F126:G126" si="202">F295</f>
        <v>1</v>
      </c>
      <c r="G126" s="507">
        <f t="shared" si="202"/>
        <v>1070</v>
      </c>
      <c r="H126" s="456">
        <f t="shared" si="200"/>
        <v>0</v>
      </c>
      <c r="I126" s="456">
        <f t="shared" si="200"/>
        <v>0</v>
      </c>
      <c r="J126" s="456">
        <f t="shared" si="200"/>
        <v>1070</v>
      </c>
      <c r="K126" s="456">
        <f t="shared" si="200"/>
        <v>0</v>
      </c>
      <c r="L126" s="456">
        <f t="shared" si="200"/>
        <v>0</v>
      </c>
      <c r="M126" s="576">
        <f t="shared" si="200"/>
        <v>0</v>
      </c>
      <c r="N126" s="357">
        <f t="shared" si="145"/>
        <v>1070</v>
      </c>
      <c r="O126" s="456">
        <f t="shared" si="177"/>
        <v>1</v>
      </c>
      <c r="P126" s="537">
        <f t="shared" si="146"/>
        <v>1070</v>
      </c>
      <c r="Q126" s="456">
        <f t="shared" ref="Q126:AB126" si="203">$P126*Q295</f>
        <v>0</v>
      </c>
      <c r="R126" s="456">
        <f t="shared" si="203"/>
        <v>0</v>
      </c>
      <c r="S126" s="456">
        <f t="shared" si="203"/>
        <v>1070</v>
      </c>
      <c r="T126" s="456">
        <f t="shared" si="203"/>
        <v>0</v>
      </c>
      <c r="U126" s="456">
        <f t="shared" si="203"/>
        <v>0</v>
      </c>
      <c r="V126" s="456">
        <f t="shared" si="203"/>
        <v>0</v>
      </c>
      <c r="W126" s="456">
        <f t="shared" si="203"/>
        <v>0</v>
      </c>
      <c r="X126" s="456">
        <f t="shared" si="203"/>
        <v>0</v>
      </c>
      <c r="Y126" s="456">
        <f t="shared" si="203"/>
        <v>0</v>
      </c>
      <c r="Z126" s="456">
        <f t="shared" si="203"/>
        <v>0</v>
      </c>
      <c r="AA126" s="456">
        <f t="shared" si="203"/>
        <v>0</v>
      </c>
      <c r="AB126" s="576">
        <f t="shared" si="203"/>
        <v>0</v>
      </c>
      <c r="AC126" s="595">
        <f>'List of equipment'!$Q$51</f>
        <v>1</v>
      </c>
      <c r="AD126" s="595" t="str">
        <f t="shared" si="198"/>
        <v>True</v>
      </c>
    </row>
    <row r="127" spans="1:30" s="25" customFormat="1">
      <c r="A127" s="331"/>
      <c r="B127" s="453"/>
      <c r="C127" s="541" t="str">
        <f t="shared" si="174"/>
        <v>Elisa Test System</v>
      </c>
      <c r="D127" s="353"/>
      <c r="E127" s="357">
        <f t="shared" si="143"/>
        <v>8000</v>
      </c>
      <c r="F127" s="456">
        <f t="shared" ref="F127:G127" si="204">F296</f>
        <v>1</v>
      </c>
      <c r="G127" s="507">
        <f t="shared" si="204"/>
        <v>8000</v>
      </c>
      <c r="H127" s="456">
        <f t="shared" si="200"/>
        <v>0</v>
      </c>
      <c r="I127" s="456">
        <f t="shared" si="200"/>
        <v>0</v>
      </c>
      <c r="J127" s="456">
        <f t="shared" si="200"/>
        <v>8000</v>
      </c>
      <c r="K127" s="456">
        <f t="shared" si="200"/>
        <v>0</v>
      </c>
      <c r="L127" s="456">
        <f t="shared" si="200"/>
        <v>0</v>
      </c>
      <c r="M127" s="576">
        <f t="shared" si="200"/>
        <v>0</v>
      </c>
      <c r="N127" s="357">
        <f t="shared" si="145"/>
        <v>0</v>
      </c>
      <c r="O127" s="456">
        <f t="shared" si="177"/>
        <v>0</v>
      </c>
      <c r="P127" s="537">
        <f t="shared" si="146"/>
        <v>8000</v>
      </c>
      <c r="Q127" s="456">
        <f t="shared" ref="Q127:AB127" si="205">$P127*Q296</f>
        <v>0</v>
      </c>
      <c r="R127" s="456">
        <f t="shared" si="205"/>
        <v>0</v>
      </c>
      <c r="S127" s="456">
        <f t="shared" si="205"/>
        <v>0</v>
      </c>
      <c r="T127" s="456">
        <f t="shared" si="205"/>
        <v>0</v>
      </c>
      <c r="U127" s="456">
        <f t="shared" si="205"/>
        <v>0</v>
      </c>
      <c r="V127" s="456">
        <f t="shared" si="205"/>
        <v>0</v>
      </c>
      <c r="W127" s="456">
        <f t="shared" si="205"/>
        <v>0</v>
      </c>
      <c r="X127" s="456">
        <f t="shared" si="205"/>
        <v>0</v>
      </c>
      <c r="Y127" s="456">
        <f t="shared" si="205"/>
        <v>0</v>
      </c>
      <c r="Z127" s="456">
        <f t="shared" si="205"/>
        <v>0</v>
      </c>
      <c r="AA127" s="456">
        <f t="shared" si="205"/>
        <v>0</v>
      </c>
      <c r="AB127" s="576">
        <f t="shared" si="205"/>
        <v>0</v>
      </c>
      <c r="AC127" s="595">
        <f>'List of equipment'!$Q$52</f>
        <v>1</v>
      </c>
      <c r="AD127" s="595" t="str">
        <f t="shared" si="198"/>
        <v>True</v>
      </c>
    </row>
    <row r="128" spans="1:30" s="25" customFormat="1">
      <c r="A128" s="331"/>
      <c r="B128" s="453"/>
      <c r="C128" s="541" t="str">
        <f t="shared" si="174"/>
        <v>Blood bank</v>
      </c>
      <c r="D128" s="353"/>
      <c r="E128" s="357">
        <f t="shared" si="143"/>
        <v>25396</v>
      </c>
      <c r="F128" s="456">
        <f t="shared" ref="F128:G128" si="206">F297</f>
        <v>1</v>
      </c>
      <c r="G128" s="507">
        <f t="shared" si="206"/>
        <v>25396</v>
      </c>
      <c r="H128" s="456">
        <f t="shared" si="200"/>
        <v>0</v>
      </c>
      <c r="I128" s="456">
        <f t="shared" si="200"/>
        <v>0</v>
      </c>
      <c r="J128" s="456">
        <f t="shared" si="200"/>
        <v>25396</v>
      </c>
      <c r="K128" s="456">
        <f t="shared" si="200"/>
        <v>0</v>
      </c>
      <c r="L128" s="456">
        <f t="shared" si="200"/>
        <v>0</v>
      </c>
      <c r="M128" s="576">
        <f t="shared" si="200"/>
        <v>0</v>
      </c>
      <c r="N128" s="357">
        <f t="shared" si="145"/>
        <v>25396</v>
      </c>
      <c r="O128" s="456">
        <f t="shared" si="177"/>
        <v>1</v>
      </c>
      <c r="P128" s="537">
        <f t="shared" si="146"/>
        <v>25396</v>
      </c>
      <c r="Q128" s="456">
        <f t="shared" ref="Q128:AB128" si="207">$P128*Q297</f>
        <v>25396</v>
      </c>
      <c r="R128" s="456">
        <f t="shared" si="207"/>
        <v>0</v>
      </c>
      <c r="S128" s="456">
        <f t="shared" si="207"/>
        <v>0</v>
      </c>
      <c r="T128" s="456">
        <f t="shared" si="207"/>
        <v>0</v>
      </c>
      <c r="U128" s="456">
        <f t="shared" si="207"/>
        <v>0</v>
      </c>
      <c r="V128" s="456">
        <f t="shared" si="207"/>
        <v>0</v>
      </c>
      <c r="W128" s="456">
        <f t="shared" si="207"/>
        <v>0</v>
      </c>
      <c r="X128" s="456">
        <f t="shared" si="207"/>
        <v>0</v>
      </c>
      <c r="Y128" s="456">
        <f t="shared" si="207"/>
        <v>0</v>
      </c>
      <c r="Z128" s="456">
        <f t="shared" si="207"/>
        <v>0</v>
      </c>
      <c r="AA128" s="456">
        <f t="shared" si="207"/>
        <v>0</v>
      </c>
      <c r="AB128" s="576">
        <f t="shared" si="207"/>
        <v>0</v>
      </c>
      <c r="AC128" s="595">
        <f>'List of equipment'!$Q$74</f>
        <v>2</v>
      </c>
      <c r="AD128" s="595" t="str">
        <f t="shared" si="198"/>
        <v>True</v>
      </c>
    </row>
    <row r="129" spans="1:30" s="25" customFormat="1">
      <c r="A129" s="331"/>
      <c r="B129" s="453"/>
      <c r="C129" s="541" t="str">
        <f t="shared" si="174"/>
        <v>Platelet aggregation analyzer</v>
      </c>
      <c r="D129" s="353"/>
      <c r="E129" s="357">
        <f t="shared" si="143"/>
        <v>12000</v>
      </c>
      <c r="F129" s="456">
        <f t="shared" ref="F129:G129" si="208">F298</f>
        <v>1</v>
      </c>
      <c r="G129" s="507">
        <f t="shared" si="208"/>
        <v>12000</v>
      </c>
      <c r="H129" s="456">
        <f t="shared" si="200"/>
        <v>0</v>
      </c>
      <c r="I129" s="456">
        <f t="shared" si="200"/>
        <v>0</v>
      </c>
      <c r="J129" s="456">
        <f t="shared" si="200"/>
        <v>12000</v>
      </c>
      <c r="K129" s="456">
        <f t="shared" si="200"/>
        <v>0</v>
      </c>
      <c r="L129" s="456">
        <f t="shared" si="200"/>
        <v>0</v>
      </c>
      <c r="M129" s="576">
        <f t="shared" si="200"/>
        <v>0</v>
      </c>
      <c r="N129" s="357">
        <f t="shared" si="145"/>
        <v>12000</v>
      </c>
      <c r="O129" s="456">
        <f t="shared" si="177"/>
        <v>1</v>
      </c>
      <c r="P129" s="537">
        <f t="shared" si="146"/>
        <v>12000</v>
      </c>
      <c r="Q129" s="456">
        <f t="shared" ref="Q129:AB129" si="209">$P129*Q298</f>
        <v>0</v>
      </c>
      <c r="R129" s="456">
        <f t="shared" si="209"/>
        <v>0</v>
      </c>
      <c r="S129" s="456">
        <f t="shared" si="209"/>
        <v>12000</v>
      </c>
      <c r="T129" s="456">
        <f t="shared" si="209"/>
        <v>0</v>
      </c>
      <c r="U129" s="456">
        <f t="shared" si="209"/>
        <v>0</v>
      </c>
      <c r="V129" s="456">
        <f t="shared" si="209"/>
        <v>0</v>
      </c>
      <c r="W129" s="456">
        <f t="shared" si="209"/>
        <v>0</v>
      </c>
      <c r="X129" s="456">
        <f t="shared" si="209"/>
        <v>0</v>
      </c>
      <c r="Y129" s="456">
        <f t="shared" si="209"/>
        <v>0</v>
      </c>
      <c r="Z129" s="456">
        <f t="shared" si="209"/>
        <v>0</v>
      </c>
      <c r="AA129" s="456">
        <f t="shared" si="209"/>
        <v>0</v>
      </c>
      <c r="AB129" s="576">
        <f t="shared" si="209"/>
        <v>0</v>
      </c>
      <c r="AC129" s="595">
        <f>'List of equipment'!$Q$83</f>
        <v>1</v>
      </c>
      <c r="AD129" s="595" t="str">
        <f t="shared" si="198"/>
        <v>True</v>
      </c>
    </row>
    <row r="130" spans="1:30" s="25" customFormat="1">
      <c r="A130" s="331"/>
      <c r="B130" s="453"/>
      <c r="C130" s="541" t="str">
        <f t="shared" si="174"/>
        <v>Platelet incubator</v>
      </c>
      <c r="D130" s="353"/>
      <c r="E130" s="357">
        <f t="shared" si="143"/>
        <v>1000</v>
      </c>
      <c r="F130" s="456">
        <f t="shared" ref="F130:G130" si="210">F299</f>
        <v>1</v>
      </c>
      <c r="G130" s="507">
        <f t="shared" si="210"/>
        <v>1000</v>
      </c>
      <c r="H130" s="456">
        <f t="shared" si="200"/>
        <v>0</v>
      </c>
      <c r="I130" s="456">
        <f t="shared" si="200"/>
        <v>0</v>
      </c>
      <c r="J130" s="456">
        <f t="shared" si="200"/>
        <v>1000</v>
      </c>
      <c r="K130" s="456">
        <f t="shared" si="200"/>
        <v>0</v>
      </c>
      <c r="L130" s="456">
        <f t="shared" si="200"/>
        <v>0</v>
      </c>
      <c r="M130" s="576">
        <f t="shared" si="200"/>
        <v>0</v>
      </c>
      <c r="N130" s="357">
        <f t="shared" si="145"/>
        <v>1000</v>
      </c>
      <c r="O130" s="456">
        <f t="shared" si="177"/>
        <v>1</v>
      </c>
      <c r="P130" s="537">
        <f t="shared" si="146"/>
        <v>1000</v>
      </c>
      <c r="Q130" s="456">
        <f t="shared" ref="Q130:AB130" si="211">$P130*Q299</f>
        <v>0</v>
      </c>
      <c r="R130" s="456">
        <f t="shared" si="211"/>
        <v>0</v>
      </c>
      <c r="S130" s="456">
        <f t="shared" si="211"/>
        <v>1000</v>
      </c>
      <c r="T130" s="456">
        <f t="shared" si="211"/>
        <v>0</v>
      </c>
      <c r="U130" s="456">
        <f t="shared" si="211"/>
        <v>0</v>
      </c>
      <c r="V130" s="456">
        <f t="shared" si="211"/>
        <v>0</v>
      </c>
      <c r="W130" s="456">
        <f t="shared" si="211"/>
        <v>0</v>
      </c>
      <c r="X130" s="456">
        <f t="shared" si="211"/>
        <v>0</v>
      </c>
      <c r="Y130" s="456">
        <f t="shared" si="211"/>
        <v>0</v>
      </c>
      <c r="Z130" s="456">
        <f t="shared" si="211"/>
        <v>0</v>
      </c>
      <c r="AA130" s="456">
        <f t="shared" si="211"/>
        <v>0</v>
      </c>
      <c r="AB130" s="576">
        <f t="shared" si="211"/>
        <v>0</v>
      </c>
      <c r="AC130" s="595">
        <f>'List of equipment'!$Q$84</f>
        <v>1</v>
      </c>
      <c r="AD130" s="595" t="str">
        <f t="shared" si="198"/>
        <v>True</v>
      </c>
    </row>
    <row r="131" spans="1:30" s="25" customFormat="1">
      <c r="A131" s="331"/>
      <c r="B131" s="453"/>
      <c r="C131" s="541" t="str">
        <f t="shared" si="174"/>
        <v>Laboratory - Immunology</v>
      </c>
      <c r="D131" s="353"/>
      <c r="E131" s="357">
        <f t="shared" si="143"/>
        <v>0</v>
      </c>
      <c r="F131" s="456">
        <f t="shared" ref="F131:G131" si="212">F300</f>
        <v>0</v>
      </c>
      <c r="G131" s="507">
        <f t="shared" si="212"/>
        <v>0</v>
      </c>
      <c r="H131" s="456">
        <f t="shared" si="200"/>
        <v>0</v>
      </c>
      <c r="I131" s="456">
        <f t="shared" si="200"/>
        <v>0</v>
      </c>
      <c r="J131" s="456">
        <f t="shared" si="200"/>
        <v>0</v>
      </c>
      <c r="K131" s="456">
        <f t="shared" si="200"/>
        <v>0</v>
      </c>
      <c r="L131" s="456">
        <f t="shared" si="200"/>
        <v>0</v>
      </c>
      <c r="M131" s="576">
        <f t="shared" si="200"/>
        <v>0</v>
      </c>
      <c r="N131" s="357">
        <f t="shared" si="145"/>
        <v>0</v>
      </c>
      <c r="O131" s="456">
        <f t="shared" si="177"/>
        <v>0</v>
      </c>
      <c r="P131" s="537">
        <f t="shared" si="146"/>
        <v>0</v>
      </c>
      <c r="Q131" s="456">
        <f t="shared" ref="Q131:AB131" si="213">$P131*Q300</f>
        <v>0</v>
      </c>
      <c r="R131" s="456">
        <f t="shared" si="213"/>
        <v>0</v>
      </c>
      <c r="S131" s="456">
        <f t="shared" si="213"/>
        <v>0</v>
      </c>
      <c r="T131" s="456">
        <f t="shared" si="213"/>
        <v>0</v>
      </c>
      <c r="U131" s="456">
        <f t="shared" si="213"/>
        <v>0</v>
      </c>
      <c r="V131" s="456">
        <f t="shared" si="213"/>
        <v>0</v>
      </c>
      <c r="W131" s="456">
        <f t="shared" si="213"/>
        <v>0</v>
      </c>
      <c r="X131" s="456">
        <f t="shared" si="213"/>
        <v>0</v>
      </c>
      <c r="Y131" s="456">
        <f t="shared" si="213"/>
        <v>0</v>
      </c>
      <c r="Z131" s="456">
        <f t="shared" si="213"/>
        <v>0</v>
      </c>
      <c r="AA131" s="456">
        <f t="shared" si="213"/>
        <v>0</v>
      </c>
      <c r="AB131" s="576">
        <f t="shared" si="213"/>
        <v>0</v>
      </c>
      <c r="AC131" s="595"/>
      <c r="AD131" s="595"/>
    </row>
    <row r="132" spans="1:30" s="25" customFormat="1">
      <c r="A132" s="331"/>
      <c r="B132" s="453"/>
      <c r="C132" s="541" t="str">
        <f t="shared" si="174"/>
        <v>Automated immunology analyzer</v>
      </c>
      <c r="D132" s="353"/>
      <c r="E132" s="357">
        <f t="shared" si="143"/>
        <v>250000</v>
      </c>
      <c r="F132" s="456">
        <f t="shared" ref="F132:G132" si="214">F301</f>
        <v>1</v>
      </c>
      <c r="G132" s="507">
        <f t="shared" si="214"/>
        <v>250000</v>
      </c>
      <c r="H132" s="456">
        <f t="shared" si="200"/>
        <v>0</v>
      </c>
      <c r="I132" s="456">
        <f t="shared" si="200"/>
        <v>0</v>
      </c>
      <c r="J132" s="456">
        <f t="shared" si="200"/>
        <v>250000</v>
      </c>
      <c r="K132" s="456">
        <f t="shared" si="200"/>
        <v>0</v>
      </c>
      <c r="L132" s="456">
        <f t="shared" si="200"/>
        <v>0</v>
      </c>
      <c r="M132" s="576">
        <f t="shared" si="200"/>
        <v>0</v>
      </c>
      <c r="N132" s="357">
        <f t="shared" si="145"/>
        <v>750000</v>
      </c>
      <c r="O132" s="456">
        <f t="shared" si="177"/>
        <v>3</v>
      </c>
      <c r="P132" s="537">
        <f t="shared" si="146"/>
        <v>250000</v>
      </c>
      <c r="Q132" s="456">
        <f t="shared" ref="Q132:AB132" si="215">$P132*Q301</f>
        <v>250000</v>
      </c>
      <c r="R132" s="456">
        <f t="shared" si="215"/>
        <v>0</v>
      </c>
      <c r="S132" s="456">
        <f t="shared" si="215"/>
        <v>0</v>
      </c>
      <c r="T132" s="456">
        <f t="shared" si="215"/>
        <v>0</v>
      </c>
      <c r="U132" s="456">
        <f t="shared" si="215"/>
        <v>0</v>
      </c>
      <c r="V132" s="456">
        <f t="shared" si="215"/>
        <v>250000</v>
      </c>
      <c r="W132" s="456">
        <f t="shared" si="215"/>
        <v>0</v>
      </c>
      <c r="X132" s="456">
        <f t="shared" si="215"/>
        <v>0</v>
      </c>
      <c r="Y132" s="456">
        <f t="shared" si="215"/>
        <v>0</v>
      </c>
      <c r="Z132" s="456">
        <f t="shared" si="215"/>
        <v>0</v>
      </c>
      <c r="AA132" s="456">
        <f t="shared" si="215"/>
        <v>0</v>
      </c>
      <c r="AB132" s="576">
        <f t="shared" si="215"/>
        <v>250000</v>
      </c>
      <c r="AC132" s="595">
        <f>COUNTIF('Medic Equipment'!$E$5:$E$31,'Medic Equipment'!$E$24)/3</f>
        <v>3</v>
      </c>
      <c r="AD132" s="595" t="str">
        <f t="shared" ref="AD132" si="216">IF(SUM(F132,O132)-AC132&gt;=0,"True","False")</f>
        <v>True</v>
      </c>
    </row>
    <row r="133" spans="1:30" s="25" customFormat="1">
      <c r="A133" s="331"/>
      <c r="B133" s="453"/>
      <c r="C133" s="541" t="str">
        <f t="shared" si="174"/>
        <v>Laboratory - Microbiology&amp; Parasitology</v>
      </c>
      <c r="D133" s="353"/>
      <c r="E133" s="357">
        <f t="shared" si="143"/>
        <v>0</v>
      </c>
      <c r="F133" s="456">
        <f t="shared" ref="F133:G133" si="217">F302</f>
        <v>0</v>
      </c>
      <c r="G133" s="507">
        <f t="shared" si="217"/>
        <v>0</v>
      </c>
      <c r="H133" s="456">
        <f t="shared" si="200"/>
        <v>0</v>
      </c>
      <c r="I133" s="456">
        <f t="shared" si="200"/>
        <v>0</v>
      </c>
      <c r="J133" s="456">
        <f t="shared" si="200"/>
        <v>0</v>
      </c>
      <c r="K133" s="456">
        <f t="shared" si="200"/>
        <v>0</v>
      </c>
      <c r="L133" s="456">
        <f t="shared" si="200"/>
        <v>0</v>
      </c>
      <c r="M133" s="576">
        <f t="shared" si="200"/>
        <v>0</v>
      </c>
      <c r="N133" s="357">
        <f t="shared" si="145"/>
        <v>0</v>
      </c>
      <c r="O133" s="456">
        <f t="shared" si="177"/>
        <v>0</v>
      </c>
      <c r="P133" s="537">
        <f t="shared" si="146"/>
        <v>0</v>
      </c>
      <c r="Q133" s="456">
        <f t="shared" ref="Q133:AB133" si="218">$P133*Q302</f>
        <v>0</v>
      </c>
      <c r="R133" s="456">
        <f t="shared" si="218"/>
        <v>0</v>
      </c>
      <c r="S133" s="456">
        <f t="shared" si="218"/>
        <v>0</v>
      </c>
      <c r="T133" s="456">
        <f t="shared" si="218"/>
        <v>0</v>
      </c>
      <c r="U133" s="456">
        <f t="shared" si="218"/>
        <v>0</v>
      </c>
      <c r="V133" s="456">
        <f t="shared" si="218"/>
        <v>0</v>
      </c>
      <c r="W133" s="456">
        <f t="shared" si="218"/>
        <v>0</v>
      </c>
      <c r="X133" s="456">
        <f t="shared" si="218"/>
        <v>0</v>
      </c>
      <c r="Y133" s="456">
        <f t="shared" si="218"/>
        <v>0</v>
      </c>
      <c r="Z133" s="456">
        <f t="shared" si="218"/>
        <v>0</v>
      </c>
      <c r="AA133" s="456">
        <f t="shared" si="218"/>
        <v>0</v>
      </c>
      <c r="AB133" s="576">
        <f t="shared" si="218"/>
        <v>0</v>
      </c>
      <c r="AC133" s="595"/>
      <c r="AD133" s="595"/>
    </row>
    <row r="134" spans="1:30" s="25" customFormat="1">
      <c r="A134" s="331"/>
      <c r="B134" s="453"/>
      <c r="C134" s="541" t="str">
        <f t="shared" si="174"/>
        <v>Colony counter</v>
      </c>
      <c r="D134" s="353"/>
      <c r="E134" s="357">
        <f t="shared" si="143"/>
        <v>6999</v>
      </c>
      <c r="F134" s="456">
        <f t="shared" ref="F134:G134" si="219">F303</f>
        <v>1</v>
      </c>
      <c r="G134" s="507">
        <f t="shared" si="219"/>
        <v>6999</v>
      </c>
      <c r="H134" s="456">
        <f t="shared" si="200"/>
        <v>0</v>
      </c>
      <c r="I134" s="456">
        <f t="shared" si="200"/>
        <v>0</v>
      </c>
      <c r="J134" s="456">
        <f t="shared" si="200"/>
        <v>6999</v>
      </c>
      <c r="K134" s="456">
        <f t="shared" si="200"/>
        <v>0</v>
      </c>
      <c r="L134" s="456">
        <f t="shared" si="200"/>
        <v>0</v>
      </c>
      <c r="M134" s="576">
        <f t="shared" si="200"/>
        <v>0</v>
      </c>
      <c r="N134" s="357">
        <f t="shared" si="145"/>
        <v>6999</v>
      </c>
      <c r="O134" s="456">
        <f t="shared" si="177"/>
        <v>1</v>
      </c>
      <c r="P134" s="537">
        <f t="shared" si="146"/>
        <v>6999</v>
      </c>
      <c r="Q134" s="456">
        <f t="shared" ref="Q134:AB134" si="220">$P134*Q303</f>
        <v>0</v>
      </c>
      <c r="R134" s="456">
        <f t="shared" si="220"/>
        <v>6999</v>
      </c>
      <c r="S134" s="456">
        <f t="shared" si="220"/>
        <v>0</v>
      </c>
      <c r="T134" s="456">
        <f t="shared" si="220"/>
        <v>0</v>
      </c>
      <c r="U134" s="456">
        <f t="shared" si="220"/>
        <v>0</v>
      </c>
      <c r="V134" s="456">
        <f t="shared" si="220"/>
        <v>0</v>
      </c>
      <c r="W134" s="456">
        <f t="shared" si="220"/>
        <v>0</v>
      </c>
      <c r="X134" s="456">
        <f t="shared" si="220"/>
        <v>0</v>
      </c>
      <c r="Y134" s="456">
        <f t="shared" si="220"/>
        <v>0</v>
      </c>
      <c r="Z134" s="456">
        <f t="shared" si="220"/>
        <v>0</v>
      </c>
      <c r="AA134" s="456">
        <f t="shared" si="220"/>
        <v>0</v>
      </c>
      <c r="AB134" s="576">
        <f t="shared" si="220"/>
        <v>0</v>
      </c>
      <c r="AC134" s="595">
        <f>'List of equipment'!$Q$149</f>
        <v>1</v>
      </c>
      <c r="AD134" s="595" t="str">
        <f t="shared" ref="AD134:AD136" si="221">IF(SUM(F134,O134)-AC134&gt;=0,"True","False")</f>
        <v>True</v>
      </c>
    </row>
    <row r="135" spans="1:30" s="25" customFormat="1">
      <c r="A135" s="331"/>
      <c r="B135" s="453"/>
      <c r="C135" s="541" t="str">
        <f t="shared" si="174"/>
        <v>Microbial identification &amp; antibiotic susceptibility testing machine</v>
      </c>
      <c r="D135" s="353"/>
      <c r="E135" s="357">
        <f t="shared" si="143"/>
        <v>112275</v>
      </c>
      <c r="F135" s="456">
        <f t="shared" ref="F135:G135" si="222">F304</f>
        <v>1</v>
      </c>
      <c r="G135" s="507">
        <f t="shared" si="222"/>
        <v>112275</v>
      </c>
      <c r="H135" s="456">
        <f t="shared" ref="H135:M144" si="223">$G135*H304</f>
        <v>0</v>
      </c>
      <c r="I135" s="456">
        <f t="shared" si="223"/>
        <v>0</v>
      </c>
      <c r="J135" s="456">
        <f t="shared" si="223"/>
        <v>112275</v>
      </c>
      <c r="K135" s="456">
        <f t="shared" si="223"/>
        <v>0</v>
      </c>
      <c r="L135" s="456">
        <f t="shared" si="223"/>
        <v>0</v>
      </c>
      <c r="M135" s="576">
        <f t="shared" si="223"/>
        <v>0</v>
      </c>
      <c r="N135" s="357">
        <f t="shared" si="145"/>
        <v>0</v>
      </c>
      <c r="O135" s="456">
        <f t="shared" si="177"/>
        <v>0</v>
      </c>
      <c r="P135" s="537">
        <f t="shared" si="146"/>
        <v>112275</v>
      </c>
      <c r="Q135" s="456">
        <f t="shared" ref="Q135:AB135" si="224">$P135*Q304</f>
        <v>0</v>
      </c>
      <c r="R135" s="456">
        <f t="shared" si="224"/>
        <v>0</v>
      </c>
      <c r="S135" s="456">
        <f t="shared" si="224"/>
        <v>0</v>
      </c>
      <c r="T135" s="456">
        <f t="shared" si="224"/>
        <v>0</v>
      </c>
      <c r="U135" s="456">
        <f t="shared" si="224"/>
        <v>0</v>
      </c>
      <c r="V135" s="456">
        <f t="shared" si="224"/>
        <v>0</v>
      </c>
      <c r="W135" s="456">
        <f t="shared" si="224"/>
        <v>0</v>
      </c>
      <c r="X135" s="456">
        <f t="shared" si="224"/>
        <v>0</v>
      </c>
      <c r="Y135" s="456">
        <f t="shared" si="224"/>
        <v>0</v>
      </c>
      <c r="Z135" s="456">
        <f t="shared" si="224"/>
        <v>0</v>
      </c>
      <c r="AA135" s="456">
        <f t="shared" si="224"/>
        <v>0</v>
      </c>
      <c r="AB135" s="576">
        <f t="shared" si="224"/>
        <v>0</v>
      </c>
      <c r="AC135" s="595">
        <f>'List of equipment'!$Q$152</f>
        <v>1</v>
      </c>
      <c r="AD135" s="595" t="str">
        <f t="shared" si="221"/>
        <v>True</v>
      </c>
    </row>
    <row r="136" spans="1:30" s="25" customFormat="1">
      <c r="A136" s="331"/>
      <c r="B136" s="453"/>
      <c r="C136" s="541" t="str">
        <f t="shared" si="174"/>
        <v>Virus identification machine</v>
      </c>
      <c r="D136" s="353"/>
      <c r="E136" s="357">
        <f t="shared" si="143"/>
        <v>66800</v>
      </c>
      <c r="F136" s="456">
        <f t="shared" ref="F136:G136" si="225">F305</f>
        <v>1</v>
      </c>
      <c r="G136" s="507">
        <f t="shared" si="225"/>
        <v>66800</v>
      </c>
      <c r="H136" s="456">
        <f t="shared" si="223"/>
        <v>0</v>
      </c>
      <c r="I136" s="456">
        <f t="shared" si="223"/>
        <v>0</v>
      </c>
      <c r="J136" s="456">
        <f t="shared" si="223"/>
        <v>66800</v>
      </c>
      <c r="K136" s="456">
        <f t="shared" si="223"/>
        <v>0</v>
      </c>
      <c r="L136" s="456">
        <f t="shared" si="223"/>
        <v>0</v>
      </c>
      <c r="M136" s="576">
        <f t="shared" si="223"/>
        <v>0</v>
      </c>
      <c r="N136" s="357">
        <f t="shared" si="145"/>
        <v>66800</v>
      </c>
      <c r="O136" s="456">
        <f t="shared" si="177"/>
        <v>1</v>
      </c>
      <c r="P136" s="537">
        <f t="shared" si="146"/>
        <v>66800</v>
      </c>
      <c r="Q136" s="456">
        <f t="shared" ref="Q136:AB136" si="226">$P136*Q305</f>
        <v>0</v>
      </c>
      <c r="R136" s="456">
        <f t="shared" si="226"/>
        <v>66800</v>
      </c>
      <c r="S136" s="456">
        <f t="shared" si="226"/>
        <v>0</v>
      </c>
      <c r="T136" s="456">
        <f t="shared" si="226"/>
        <v>0</v>
      </c>
      <c r="U136" s="456">
        <f t="shared" si="226"/>
        <v>0</v>
      </c>
      <c r="V136" s="456">
        <f t="shared" si="226"/>
        <v>0</v>
      </c>
      <c r="W136" s="456">
        <f t="shared" si="226"/>
        <v>0</v>
      </c>
      <c r="X136" s="456">
        <f t="shared" si="226"/>
        <v>0</v>
      </c>
      <c r="Y136" s="456">
        <f t="shared" si="226"/>
        <v>0</v>
      </c>
      <c r="Z136" s="456">
        <f t="shared" si="226"/>
        <v>0</v>
      </c>
      <c r="AA136" s="456">
        <f t="shared" si="226"/>
        <v>0</v>
      </c>
      <c r="AB136" s="576">
        <f t="shared" si="226"/>
        <v>0</v>
      </c>
      <c r="AC136" s="595">
        <f>'List of equipment'!$Q$151</f>
        <v>1</v>
      </c>
      <c r="AD136" s="595" t="str">
        <f t="shared" si="221"/>
        <v>True</v>
      </c>
    </row>
    <row r="137" spans="1:30" s="25" customFormat="1">
      <c r="A137" s="331"/>
      <c r="B137" s="453"/>
      <c r="C137" s="541" t="str">
        <f t="shared" si="174"/>
        <v>Laboratory - Pathology</v>
      </c>
      <c r="D137" s="353"/>
      <c r="E137" s="357">
        <f t="shared" si="143"/>
        <v>0</v>
      </c>
      <c r="F137" s="456">
        <f t="shared" ref="F137:G137" si="227">F306</f>
        <v>0</v>
      </c>
      <c r="G137" s="507">
        <f t="shared" si="227"/>
        <v>0</v>
      </c>
      <c r="H137" s="456">
        <f t="shared" si="223"/>
        <v>0</v>
      </c>
      <c r="I137" s="456">
        <f t="shared" si="223"/>
        <v>0</v>
      </c>
      <c r="J137" s="456">
        <f t="shared" si="223"/>
        <v>0</v>
      </c>
      <c r="K137" s="456">
        <f t="shared" si="223"/>
        <v>0</v>
      </c>
      <c r="L137" s="456">
        <f t="shared" si="223"/>
        <v>0</v>
      </c>
      <c r="M137" s="576">
        <f t="shared" si="223"/>
        <v>0</v>
      </c>
      <c r="N137" s="357">
        <f t="shared" si="145"/>
        <v>0</v>
      </c>
      <c r="O137" s="456">
        <f t="shared" si="177"/>
        <v>0</v>
      </c>
      <c r="P137" s="537">
        <f t="shared" si="146"/>
        <v>0</v>
      </c>
      <c r="Q137" s="456">
        <f t="shared" ref="Q137:AB137" si="228">$P137*Q306</f>
        <v>0</v>
      </c>
      <c r="R137" s="456">
        <f t="shared" si="228"/>
        <v>0</v>
      </c>
      <c r="S137" s="456">
        <f t="shared" si="228"/>
        <v>0</v>
      </c>
      <c r="T137" s="456">
        <f t="shared" si="228"/>
        <v>0</v>
      </c>
      <c r="U137" s="456">
        <f t="shared" si="228"/>
        <v>0</v>
      </c>
      <c r="V137" s="456">
        <f t="shared" si="228"/>
        <v>0</v>
      </c>
      <c r="W137" s="456">
        <f t="shared" si="228"/>
        <v>0</v>
      </c>
      <c r="X137" s="456">
        <f t="shared" si="228"/>
        <v>0</v>
      </c>
      <c r="Y137" s="456">
        <f t="shared" si="228"/>
        <v>0</v>
      </c>
      <c r="Z137" s="456">
        <f t="shared" si="228"/>
        <v>0</v>
      </c>
      <c r="AA137" s="456">
        <f t="shared" si="228"/>
        <v>0</v>
      </c>
      <c r="AB137" s="576">
        <f t="shared" si="228"/>
        <v>0</v>
      </c>
      <c r="AC137" s="595"/>
      <c r="AD137" s="595"/>
    </row>
    <row r="138" spans="1:30" s="25" customFormat="1">
      <c r="A138" s="331"/>
      <c r="B138" s="453"/>
      <c r="C138" s="541" t="str">
        <f t="shared" si="174"/>
        <v>Microtome</v>
      </c>
      <c r="D138" s="353"/>
      <c r="E138" s="357">
        <f t="shared" si="143"/>
        <v>10000</v>
      </c>
      <c r="F138" s="456">
        <f t="shared" ref="F138:G138" si="229">F307</f>
        <v>1</v>
      </c>
      <c r="G138" s="507">
        <f t="shared" si="229"/>
        <v>10000</v>
      </c>
      <c r="H138" s="456">
        <f t="shared" si="223"/>
        <v>0</v>
      </c>
      <c r="I138" s="456">
        <f t="shared" si="223"/>
        <v>0</v>
      </c>
      <c r="J138" s="456">
        <f t="shared" si="223"/>
        <v>10000</v>
      </c>
      <c r="K138" s="456">
        <f t="shared" si="223"/>
        <v>0</v>
      </c>
      <c r="L138" s="456">
        <f t="shared" si="223"/>
        <v>0</v>
      </c>
      <c r="M138" s="576">
        <f t="shared" si="223"/>
        <v>0</v>
      </c>
      <c r="N138" s="357">
        <f t="shared" si="145"/>
        <v>10000</v>
      </c>
      <c r="O138" s="456">
        <f t="shared" si="177"/>
        <v>1</v>
      </c>
      <c r="P138" s="537">
        <f t="shared" si="146"/>
        <v>10000</v>
      </c>
      <c r="Q138" s="456">
        <f t="shared" ref="Q138:AB138" si="230">$P138*Q307</f>
        <v>10000</v>
      </c>
      <c r="R138" s="456">
        <f t="shared" si="230"/>
        <v>0</v>
      </c>
      <c r="S138" s="456">
        <f t="shared" si="230"/>
        <v>0</v>
      </c>
      <c r="T138" s="456">
        <f t="shared" si="230"/>
        <v>0</v>
      </c>
      <c r="U138" s="456">
        <f t="shared" si="230"/>
        <v>0</v>
      </c>
      <c r="V138" s="456">
        <f t="shared" si="230"/>
        <v>0</v>
      </c>
      <c r="W138" s="456">
        <f t="shared" si="230"/>
        <v>0</v>
      </c>
      <c r="X138" s="456">
        <f t="shared" si="230"/>
        <v>0</v>
      </c>
      <c r="Y138" s="456">
        <f t="shared" si="230"/>
        <v>0</v>
      </c>
      <c r="Z138" s="456">
        <f t="shared" si="230"/>
        <v>0</v>
      </c>
      <c r="AA138" s="456">
        <f t="shared" si="230"/>
        <v>0</v>
      </c>
      <c r="AB138" s="576">
        <f t="shared" si="230"/>
        <v>0</v>
      </c>
      <c r="AC138" s="595">
        <f>'List of equipment'!$Q$274</f>
        <v>1</v>
      </c>
      <c r="AD138" s="595" t="str">
        <f t="shared" ref="AD138:AD143" si="231">IF(SUM(F138,O138)-AC138&gt;=0,"True","False")</f>
        <v>True</v>
      </c>
    </row>
    <row r="139" spans="1:30" s="25" customFormat="1">
      <c r="A139" s="331"/>
      <c r="B139" s="453"/>
      <c r="C139" s="541" t="str">
        <f t="shared" si="174"/>
        <v>Microtome cryostat</v>
      </c>
      <c r="D139" s="353"/>
      <c r="E139" s="357">
        <f t="shared" si="143"/>
        <v>15000</v>
      </c>
      <c r="F139" s="456">
        <f t="shared" ref="F139:G139" si="232">F308</f>
        <v>1</v>
      </c>
      <c r="G139" s="507">
        <f t="shared" si="232"/>
        <v>15000</v>
      </c>
      <c r="H139" s="456">
        <f t="shared" si="223"/>
        <v>0</v>
      </c>
      <c r="I139" s="456">
        <f t="shared" si="223"/>
        <v>0</v>
      </c>
      <c r="J139" s="456">
        <f t="shared" si="223"/>
        <v>15000</v>
      </c>
      <c r="K139" s="456">
        <f t="shared" si="223"/>
        <v>0</v>
      </c>
      <c r="L139" s="456">
        <f t="shared" si="223"/>
        <v>0</v>
      </c>
      <c r="M139" s="576">
        <f t="shared" si="223"/>
        <v>0</v>
      </c>
      <c r="N139" s="357">
        <f t="shared" si="145"/>
        <v>15000</v>
      </c>
      <c r="O139" s="456">
        <f t="shared" si="177"/>
        <v>1</v>
      </c>
      <c r="P139" s="537">
        <f t="shared" si="146"/>
        <v>15000</v>
      </c>
      <c r="Q139" s="456">
        <f t="shared" ref="Q139:AB139" si="233">$P139*Q308</f>
        <v>15000</v>
      </c>
      <c r="R139" s="456">
        <f t="shared" si="233"/>
        <v>0</v>
      </c>
      <c r="S139" s="456">
        <f t="shared" si="233"/>
        <v>0</v>
      </c>
      <c r="T139" s="456">
        <f t="shared" si="233"/>
        <v>0</v>
      </c>
      <c r="U139" s="456">
        <f t="shared" si="233"/>
        <v>0</v>
      </c>
      <c r="V139" s="456">
        <f t="shared" si="233"/>
        <v>0</v>
      </c>
      <c r="W139" s="456">
        <f t="shared" si="233"/>
        <v>0</v>
      </c>
      <c r="X139" s="456">
        <f t="shared" si="233"/>
        <v>0</v>
      </c>
      <c r="Y139" s="456">
        <f t="shared" si="233"/>
        <v>0</v>
      </c>
      <c r="Z139" s="456">
        <f t="shared" si="233"/>
        <v>0</v>
      </c>
      <c r="AA139" s="456">
        <f t="shared" si="233"/>
        <v>0</v>
      </c>
      <c r="AB139" s="576">
        <f t="shared" si="233"/>
        <v>0</v>
      </c>
      <c r="AC139" s="595">
        <f>'List of equipment'!$Q$275</f>
        <v>1</v>
      </c>
      <c r="AD139" s="595" t="str">
        <f t="shared" si="231"/>
        <v>True</v>
      </c>
    </row>
    <row r="140" spans="1:30" s="25" customFormat="1">
      <c r="A140" s="331"/>
      <c r="B140" s="453"/>
      <c r="C140" s="541" t="str">
        <f t="shared" si="174"/>
        <v>Paraffin block storage</v>
      </c>
      <c r="D140" s="353"/>
      <c r="E140" s="357">
        <f t="shared" si="143"/>
        <v>1000</v>
      </c>
      <c r="F140" s="456">
        <f t="shared" ref="F140:G140" si="234">F309</f>
        <v>1</v>
      </c>
      <c r="G140" s="507">
        <f t="shared" si="234"/>
        <v>1000</v>
      </c>
      <c r="H140" s="456">
        <f t="shared" si="223"/>
        <v>0</v>
      </c>
      <c r="I140" s="456">
        <f t="shared" si="223"/>
        <v>0</v>
      </c>
      <c r="J140" s="456">
        <f t="shared" si="223"/>
        <v>1000</v>
      </c>
      <c r="K140" s="456">
        <f t="shared" si="223"/>
        <v>0</v>
      </c>
      <c r="L140" s="456">
        <f t="shared" si="223"/>
        <v>0</v>
      </c>
      <c r="M140" s="576">
        <f t="shared" si="223"/>
        <v>0</v>
      </c>
      <c r="N140" s="357">
        <f t="shared" si="145"/>
        <v>2000</v>
      </c>
      <c r="O140" s="456">
        <f t="shared" si="177"/>
        <v>2</v>
      </c>
      <c r="P140" s="537">
        <f t="shared" si="146"/>
        <v>1000</v>
      </c>
      <c r="Q140" s="456">
        <f t="shared" ref="Q140:AB140" si="235">$P140*Q309</f>
        <v>1000</v>
      </c>
      <c r="R140" s="456">
        <f t="shared" si="235"/>
        <v>0</v>
      </c>
      <c r="S140" s="456">
        <f t="shared" si="235"/>
        <v>0</v>
      </c>
      <c r="T140" s="456">
        <f t="shared" si="235"/>
        <v>0</v>
      </c>
      <c r="U140" s="456">
        <f t="shared" si="235"/>
        <v>0</v>
      </c>
      <c r="V140" s="456">
        <f t="shared" si="235"/>
        <v>1000</v>
      </c>
      <c r="W140" s="456">
        <f t="shared" si="235"/>
        <v>0</v>
      </c>
      <c r="X140" s="456">
        <f t="shared" si="235"/>
        <v>0</v>
      </c>
      <c r="Y140" s="456">
        <f t="shared" si="235"/>
        <v>0</v>
      </c>
      <c r="Z140" s="456">
        <f t="shared" si="235"/>
        <v>0</v>
      </c>
      <c r="AA140" s="456">
        <f t="shared" si="235"/>
        <v>0</v>
      </c>
      <c r="AB140" s="576">
        <f t="shared" si="235"/>
        <v>0</v>
      </c>
      <c r="AC140" s="595">
        <f>'List of equipment'!$Q$278</f>
        <v>2</v>
      </c>
      <c r="AD140" s="595" t="str">
        <f t="shared" si="231"/>
        <v>True</v>
      </c>
    </row>
    <row r="141" spans="1:30" s="25" customFormat="1">
      <c r="A141" s="331"/>
      <c r="B141" s="453"/>
      <c r="C141" s="541" t="str">
        <f t="shared" si="174"/>
        <v>Paraffin embedding station</v>
      </c>
      <c r="D141" s="353"/>
      <c r="E141" s="357">
        <f t="shared" si="143"/>
        <v>499</v>
      </c>
      <c r="F141" s="456">
        <f t="shared" ref="F141:G141" si="236">F310</f>
        <v>1</v>
      </c>
      <c r="G141" s="507">
        <f t="shared" si="236"/>
        <v>499</v>
      </c>
      <c r="H141" s="456">
        <f t="shared" si="223"/>
        <v>0</v>
      </c>
      <c r="I141" s="456">
        <f t="shared" si="223"/>
        <v>0</v>
      </c>
      <c r="J141" s="456">
        <f t="shared" si="223"/>
        <v>499</v>
      </c>
      <c r="K141" s="456">
        <f t="shared" si="223"/>
        <v>0</v>
      </c>
      <c r="L141" s="456">
        <f t="shared" si="223"/>
        <v>0</v>
      </c>
      <c r="M141" s="576">
        <f t="shared" si="223"/>
        <v>0</v>
      </c>
      <c r="N141" s="357">
        <f t="shared" si="145"/>
        <v>499</v>
      </c>
      <c r="O141" s="456">
        <f t="shared" si="177"/>
        <v>1</v>
      </c>
      <c r="P141" s="537">
        <f t="shared" si="146"/>
        <v>499</v>
      </c>
      <c r="Q141" s="456">
        <f t="shared" ref="Q141:AB141" si="237">$P141*Q310</f>
        <v>499</v>
      </c>
      <c r="R141" s="456">
        <f t="shared" si="237"/>
        <v>0</v>
      </c>
      <c r="S141" s="456">
        <f t="shared" si="237"/>
        <v>0</v>
      </c>
      <c r="T141" s="456">
        <f t="shared" si="237"/>
        <v>0</v>
      </c>
      <c r="U141" s="456">
        <f t="shared" si="237"/>
        <v>0</v>
      </c>
      <c r="V141" s="456">
        <f t="shared" si="237"/>
        <v>0</v>
      </c>
      <c r="W141" s="456">
        <f t="shared" si="237"/>
        <v>0</v>
      </c>
      <c r="X141" s="456">
        <f t="shared" si="237"/>
        <v>0</v>
      </c>
      <c r="Y141" s="456">
        <f t="shared" si="237"/>
        <v>0</v>
      </c>
      <c r="Z141" s="456">
        <f t="shared" si="237"/>
        <v>0</v>
      </c>
      <c r="AA141" s="456">
        <f t="shared" si="237"/>
        <v>0</v>
      </c>
      <c r="AB141" s="576">
        <f t="shared" si="237"/>
        <v>0</v>
      </c>
      <c r="AC141" s="595">
        <f>'List of equipment'!$Q$279</f>
        <v>1</v>
      </c>
      <c r="AD141" s="595" t="str">
        <f t="shared" si="231"/>
        <v>True</v>
      </c>
    </row>
    <row r="142" spans="1:30" s="25" customFormat="1">
      <c r="A142" s="331"/>
      <c r="B142" s="453"/>
      <c r="C142" s="541" t="str">
        <f t="shared" si="174"/>
        <v>Slide stainer</v>
      </c>
      <c r="D142" s="353"/>
      <c r="E142" s="357">
        <f t="shared" si="143"/>
        <v>1000</v>
      </c>
      <c r="F142" s="456">
        <f t="shared" ref="F142:G142" si="238">F311</f>
        <v>1</v>
      </c>
      <c r="G142" s="507">
        <f t="shared" si="238"/>
        <v>1000</v>
      </c>
      <c r="H142" s="456">
        <f t="shared" si="223"/>
        <v>0</v>
      </c>
      <c r="I142" s="456">
        <f t="shared" si="223"/>
        <v>0</v>
      </c>
      <c r="J142" s="456">
        <f t="shared" si="223"/>
        <v>1000</v>
      </c>
      <c r="K142" s="456">
        <f t="shared" si="223"/>
        <v>0</v>
      </c>
      <c r="L142" s="456">
        <f t="shared" si="223"/>
        <v>0</v>
      </c>
      <c r="M142" s="576">
        <f t="shared" si="223"/>
        <v>0</v>
      </c>
      <c r="N142" s="357">
        <f t="shared" si="145"/>
        <v>1000</v>
      </c>
      <c r="O142" s="456">
        <f t="shared" si="177"/>
        <v>1</v>
      </c>
      <c r="P142" s="537">
        <f t="shared" si="146"/>
        <v>1000</v>
      </c>
      <c r="Q142" s="456">
        <f t="shared" ref="Q142:AB142" si="239">$P142*Q311</f>
        <v>1000</v>
      </c>
      <c r="R142" s="456">
        <f t="shared" si="239"/>
        <v>0</v>
      </c>
      <c r="S142" s="456">
        <f t="shared" si="239"/>
        <v>0</v>
      </c>
      <c r="T142" s="456">
        <f t="shared" si="239"/>
        <v>0</v>
      </c>
      <c r="U142" s="456">
        <f t="shared" si="239"/>
        <v>0</v>
      </c>
      <c r="V142" s="456">
        <f t="shared" si="239"/>
        <v>0</v>
      </c>
      <c r="W142" s="456">
        <f t="shared" si="239"/>
        <v>0</v>
      </c>
      <c r="X142" s="456">
        <f t="shared" si="239"/>
        <v>0</v>
      </c>
      <c r="Y142" s="456">
        <f t="shared" si="239"/>
        <v>0</v>
      </c>
      <c r="Z142" s="456">
        <f t="shared" si="239"/>
        <v>0</v>
      </c>
      <c r="AA142" s="456">
        <f t="shared" si="239"/>
        <v>0</v>
      </c>
      <c r="AB142" s="576">
        <f t="shared" si="239"/>
        <v>0</v>
      </c>
      <c r="AC142" s="595">
        <f>'List of equipment'!$Q$280</f>
        <v>1</v>
      </c>
      <c r="AD142" s="595" t="str">
        <f t="shared" si="231"/>
        <v>True</v>
      </c>
    </row>
    <row r="143" spans="1:30" s="25" customFormat="1">
      <c r="A143" s="331"/>
      <c r="B143" s="453"/>
      <c r="C143" s="541" t="str">
        <f t="shared" si="174"/>
        <v>Slide dryer</v>
      </c>
      <c r="D143" s="353"/>
      <c r="E143" s="357">
        <f t="shared" si="143"/>
        <v>1000</v>
      </c>
      <c r="F143" s="456">
        <f t="shared" ref="F143:G143" si="240">F312</f>
        <v>1</v>
      </c>
      <c r="G143" s="507">
        <f t="shared" si="240"/>
        <v>1000</v>
      </c>
      <c r="H143" s="456">
        <f t="shared" si="223"/>
        <v>0</v>
      </c>
      <c r="I143" s="456">
        <f t="shared" si="223"/>
        <v>0</v>
      </c>
      <c r="J143" s="456">
        <f t="shared" si="223"/>
        <v>1000</v>
      </c>
      <c r="K143" s="456">
        <f t="shared" si="223"/>
        <v>0</v>
      </c>
      <c r="L143" s="456">
        <f t="shared" si="223"/>
        <v>0</v>
      </c>
      <c r="M143" s="576">
        <f t="shared" si="223"/>
        <v>0</v>
      </c>
      <c r="N143" s="357">
        <f t="shared" si="145"/>
        <v>1000</v>
      </c>
      <c r="O143" s="456">
        <f t="shared" si="177"/>
        <v>1</v>
      </c>
      <c r="P143" s="537">
        <f t="shared" si="146"/>
        <v>1000</v>
      </c>
      <c r="Q143" s="456">
        <f t="shared" ref="Q143:AB143" si="241">$P143*Q312</f>
        <v>1000</v>
      </c>
      <c r="R143" s="456">
        <f t="shared" si="241"/>
        <v>0</v>
      </c>
      <c r="S143" s="456">
        <f t="shared" si="241"/>
        <v>0</v>
      </c>
      <c r="T143" s="456">
        <f t="shared" si="241"/>
        <v>0</v>
      </c>
      <c r="U143" s="456">
        <f t="shared" si="241"/>
        <v>0</v>
      </c>
      <c r="V143" s="456">
        <f t="shared" si="241"/>
        <v>0</v>
      </c>
      <c r="W143" s="456">
        <f t="shared" si="241"/>
        <v>0</v>
      </c>
      <c r="X143" s="456">
        <f t="shared" si="241"/>
        <v>0</v>
      </c>
      <c r="Y143" s="456">
        <f t="shared" si="241"/>
        <v>0</v>
      </c>
      <c r="Z143" s="456">
        <f t="shared" si="241"/>
        <v>0</v>
      </c>
      <c r="AA143" s="456">
        <f t="shared" si="241"/>
        <v>0</v>
      </c>
      <c r="AB143" s="576">
        <f t="shared" si="241"/>
        <v>0</v>
      </c>
      <c r="AC143" s="595">
        <f>'List of equipment'!$Q$281</f>
        <v>1</v>
      </c>
      <c r="AD143" s="595" t="str">
        <f t="shared" si="231"/>
        <v>True</v>
      </c>
    </row>
    <row r="144" spans="1:30" s="25" customFormat="1">
      <c r="A144" s="331"/>
      <c r="B144" s="453"/>
      <c r="C144" s="541" t="str">
        <f t="shared" si="174"/>
        <v>Laboratory - Molecular Biology</v>
      </c>
      <c r="D144" s="353"/>
      <c r="E144" s="357">
        <f t="shared" si="143"/>
        <v>0</v>
      </c>
      <c r="F144" s="456">
        <f t="shared" ref="F144:G144" si="242">F313</f>
        <v>0</v>
      </c>
      <c r="G144" s="507">
        <f t="shared" si="242"/>
        <v>0</v>
      </c>
      <c r="H144" s="456">
        <f t="shared" si="223"/>
        <v>0</v>
      </c>
      <c r="I144" s="456">
        <f t="shared" si="223"/>
        <v>0</v>
      </c>
      <c r="J144" s="456">
        <f t="shared" si="223"/>
        <v>0</v>
      </c>
      <c r="K144" s="456">
        <f t="shared" si="223"/>
        <v>0</v>
      </c>
      <c r="L144" s="456">
        <f t="shared" si="223"/>
        <v>0</v>
      </c>
      <c r="M144" s="576">
        <f t="shared" si="223"/>
        <v>0</v>
      </c>
      <c r="N144" s="357">
        <f t="shared" si="145"/>
        <v>0</v>
      </c>
      <c r="O144" s="456">
        <f t="shared" si="177"/>
        <v>0</v>
      </c>
      <c r="P144" s="537">
        <f t="shared" si="146"/>
        <v>0</v>
      </c>
      <c r="Q144" s="456">
        <f t="shared" ref="Q144:AB144" si="243">$P144*Q313</f>
        <v>0</v>
      </c>
      <c r="R144" s="456">
        <f t="shared" si="243"/>
        <v>0</v>
      </c>
      <c r="S144" s="456">
        <f t="shared" si="243"/>
        <v>0</v>
      </c>
      <c r="T144" s="456">
        <f t="shared" si="243"/>
        <v>0</v>
      </c>
      <c r="U144" s="456">
        <f t="shared" si="243"/>
        <v>0</v>
      </c>
      <c r="V144" s="456">
        <f t="shared" si="243"/>
        <v>0</v>
      </c>
      <c r="W144" s="456">
        <f t="shared" si="243"/>
        <v>0</v>
      </c>
      <c r="X144" s="456">
        <f t="shared" si="243"/>
        <v>0</v>
      </c>
      <c r="Y144" s="456">
        <f t="shared" si="243"/>
        <v>0</v>
      </c>
      <c r="Z144" s="456">
        <f t="shared" si="243"/>
        <v>0</v>
      </c>
      <c r="AA144" s="456">
        <f t="shared" si="243"/>
        <v>0</v>
      </c>
      <c r="AB144" s="576">
        <f t="shared" si="243"/>
        <v>0</v>
      </c>
      <c r="AC144" s="595"/>
      <c r="AD144" s="595"/>
    </row>
    <row r="145" spans="1:30" s="25" customFormat="1">
      <c r="A145" s="331"/>
      <c r="B145" s="453"/>
      <c r="C145" s="541" t="str">
        <f t="shared" si="174"/>
        <v>PCR machine (including genetic, virus quantification, etc.)</v>
      </c>
      <c r="D145" s="353"/>
      <c r="E145" s="357">
        <f t="shared" si="143"/>
        <v>400000</v>
      </c>
      <c r="F145" s="456">
        <f t="shared" ref="F145:G145" si="244">F314</f>
        <v>1</v>
      </c>
      <c r="G145" s="507">
        <f t="shared" si="244"/>
        <v>400000</v>
      </c>
      <c r="H145" s="456">
        <f t="shared" ref="H145:M145" si="245">$G145*H314</f>
        <v>0</v>
      </c>
      <c r="I145" s="456">
        <f t="shared" si="245"/>
        <v>0</v>
      </c>
      <c r="J145" s="456">
        <f t="shared" si="245"/>
        <v>400000</v>
      </c>
      <c r="K145" s="456">
        <f t="shared" si="245"/>
        <v>0</v>
      </c>
      <c r="L145" s="456">
        <f t="shared" si="245"/>
        <v>0</v>
      </c>
      <c r="M145" s="576">
        <f t="shared" si="245"/>
        <v>0</v>
      </c>
      <c r="N145" s="357">
        <f t="shared" si="145"/>
        <v>800000</v>
      </c>
      <c r="O145" s="456">
        <f t="shared" si="177"/>
        <v>2</v>
      </c>
      <c r="P145" s="537">
        <f t="shared" si="146"/>
        <v>400000</v>
      </c>
      <c r="Q145" s="456">
        <f t="shared" ref="Q145:AB145" si="246">$P145*Q314</f>
        <v>0</v>
      </c>
      <c r="R145" s="456">
        <f t="shared" si="246"/>
        <v>0</v>
      </c>
      <c r="S145" s="456">
        <f t="shared" si="246"/>
        <v>0</v>
      </c>
      <c r="T145" s="456">
        <f t="shared" si="246"/>
        <v>0</v>
      </c>
      <c r="U145" s="456">
        <f t="shared" si="246"/>
        <v>0</v>
      </c>
      <c r="V145" s="456">
        <f t="shared" si="246"/>
        <v>400000</v>
      </c>
      <c r="W145" s="456">
        <f t="shared" si="246"/>
        <v>0</v>
      </c>
      <c r="X145" s="456">
        <f t="shared" si="246"/>
        <v>0</v>
      </c>
      <c r="Y145" s="456">
        <f t="shared" si="246"/>
        <v>0</v>
      </c>
      <c r="Z145" s="456">
        <f t="shared" si="246"/>
        <v>0</v>
      </c>
      <c r="AA145" s="456">
        <f t="shared" si="246"/>
        <v>0</v>
      </c>
      <c r="AB145" s="576">
        <f t="shared" si="246"/>
        <v>400000</v>
      </c>
      <c r="AC145" s="595">
        <f>COUNTIF('Medic Equipment'!$E$4:$E$31,'Medic Equipment'!$E$23)/2</f>
        <v>2</v>
      </c>
      <c r="AD145" s="595" t="str">
        <f t="shared" ref="AD145" si="247">IF(SUM(F145,O145)-AC145&gt;=0,"True","False")</f>
        <v>True</v>
      </c>
    </row>
    <row r="146" spans="1:30" s="25" customFormat="1">
      <c r="A146" s="331"/>
      <c r="B146" s="453"/>
      <c r="C146" s="499" t="s">
        <v>234</v>
      </c>
      <c r="D146" s="343"/>
      <c r="E146" s="370">
        <f ca="1">SUM(E100:E145)</f>
        <v>1568819</v>
      </c>
      <c r="F146" s="501"/>
      <c r="G146" s="567"/>
      <c r="H146" s="530">
        <f t="shared" ref="H146:M146" si="248">SUM(H100:H145)</f>
        <v>0</v>
      </c>
      <c r="I146" s="530">
        <f t="shared" si="248"/>
        <v>0</v>
      </c>
      <c r="J146" s="530">
        <f t="shared" ca="1" si="248"/>
        <v>1568819</v>
      </c>
      <c r="K146" s="530">
        <f t="shared" si="248"/>
        <v>0</v>
      </c>
      <c r="L146" s="530">
        <f t="shared" si="248"/>
        <v>0</v>
      </c>
      <c r="M146" s="577">
        <f t="shared" si="248"/>
        <v>0</v>
      </c>
      <c r="N146" s="370">
        <f ca="1">SUM(N100:N145)</f>
        <v>2444544</v>
      </c>
      <c r="O146" s="538"/>
      <c r="P146" s="539"/>
      <c r="Q146" s="530">
        <f t="shared" ref="Q146" ca="1" si="249">SUM(Q100:Q145)</f>
        <v>312695</v>
      </c>
      <c r="R146" s="530">
        <f t="shared" ref="R146" si="250">SUM(R100:R145)</f>
        <v>73799</v>
      </c>
      <c r="S146" s="530">
        <f t="shared" ref="S146" si="251">SUM(S100:S145)</f>
        <v>621250</v>
      </c>
      <c r="T146" s="530">
        <f t="shared" ref="T146" si="252">SUM(T100:T145)</f>
        <v>0</v>
      </c>
      <c r="U146" s="530">
        <f t="shared" ref="U146" si="253">SUM(U100:U145)</f>
        <v>3500</v>
      </c>
      <c r="V146" s="530">
        <f t="shared" ref="V146" si="254">SUM(V100:V145)</f>
        <v>767050</v>
      </c>
      <c r="W146" s="530">
        <f t="shared" ref="W146" si="255">SUM(W100:W145)</f>
        <v>0</v>
      </c>
      <c r="X146" s="530">
        <f t="shared" ref="X146" si="256">SUM(X100:X145)</f>
        <v>0</v>
      </c>
      <c r="Y146" s="530">
        <f t="shared" ref="Y146" si="257">SUM(Y100:Y145)</f>
        <v>0</v>
      </c>
      <c r="Z146" s="530">
        <f t="shared" ref="Z146" si="258">SUM(Z100:Z145)</f>
        <v>0</v>
      </c>
      <c r="AA146" s="530">
        <f t="shared" ref="AA146" si="259">SUM(AA100:AA145)</f>
        <v>0</v>
      </c>
      <c r="AB146" s="577">
        <f t="shared" ref="AB146" si="260">SUM(AB100:AB145)</f>
        <v>666250</v>
      </c>
      <c r="AC146" s="595"/>
      <c r="AD146" s="595"/>
    </row>
    <row r="147" spans="1:30" s="48" customFormat="1">
      <c r="A147" s="511"/>
      <c r="B147" s="641"/>
      <c r="D147" s="314"/>
      <c r="E147" s="456"/>
      <c r="F147" s="51"/>
      <c r="G147" s="512"/>
      <c r="H147" s="51"/>
      <c r="I147" s="51"/>
      <c r="J147" s="51"/>
      <c r="K147" s="51"/>
      <c r="L147" s="51"/>
      <c r="M147" s="51"/>
      <c r="N147" s="456"/>
      <c r="O147" s="521"/>
      <c r="P147" s="367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97"/>
      <c r="AD147" s="597"/>
    </row>
    <row r="148" spans="1:30" s="25" customFormat="1" ht="15">
      <c r="A148" s="331"/>
      <c r="B148" s="453"/>
      <c r="C148" s="534" t="s">
        <v>228</v>
      </c>
      <c r="D148" s="496"/>
      <c r="E148" s="363"/>
      <c r="F148" s="364"/>
      <c r="G148" s="505"/>
      <c r="H148" s="364"/>
      <c r="I148" s="364"/>
      <c r="J148" s="364"/>
      <c r="K148" s="364"/>
      <c r="L148" s="364"/>
      <c r="M148" s="365"/>
      <c r="N148" s="540"/>
      <c r="O148" s="542"/>
      <c r="P148" s="535"/>
      <c r="Q148" s="514"/>
      <c r="R148" s="514"/>
      <c r="S148" s="515"/>
      <c r="T148" s="455"/>
      <c r="U148" s="455"/>
      <c r="V148" s="455"/>
      <c r="W148" s="455"/>
      <c r="X148" s="455"/>
      <c r="Y148" s="455"/>
      <c r="Z148" s="455"/>
      <c r="AA148" s="455"/>
      <c r="AB148" s="516"/>
      <c r="AC148" s="595"/>
      <c r="AD148" s="595"/>
    </row>
    <row r="149" spans="1:30" s="25" customFormat="1">
      <c r="A149" s="331"/>
      <c r="B149" s="453"/>
      <c r="C149" s="541" t="str">
        <f t="shared" ref="C149:C163" si="261">C318</f>
        <v>MRI</v>
      </c>
      <c r="D149" s="353"/>
      <c r="E149" s="357">
        <f t="shared" ref="E149" si="262">SUM(H149:M149)</f>
        <v>625200</v>
      </c>
      <c r="F149" s="456">
        <f t="shared" ref="F149:G149" si="263">F318</f>
        <v>1</v>
      </c>
      <c r="G149" s="507">
        <f t="shared" si="263"/>
        <v>625200</v>
      </c>
      <c r="H149" s="456">
        <f t="shared" ref="H149:M158" si="264">$G149*H318</f>
        <v>0</v>
      </c>
      <c r="I149" s="456">
        <f t="shared" si="264"/>
        <v>0</v>
      </c>
      <c r="J149" s="456">
        <f t="shared" si="264"/>
        <v>625200</v>
      </c>
      <c r="K149" s="456">
        <f t="shared" si="264"/>
        <v>0</v>
      </c>
      <c r="L149" s="456">
        <f t="shared" si="264"/>
        <v>0</v>
      </c>
      <c r="M149" s="576">
        <f t="shared" si="264"/>
        <v>0</v>
      </c>
      <c r="N149" s="357">
        <f t="shared" ref="N149" si="265">SUM(Q149:AB149)</f>
        <v>0</v>
      </c>
      <c r="O149" s="456">
        <f t="shared" ref="O149:O163" si="266">O318</f>
        <v>0</v>
      </c>
      <c r="P149" s="537">
        <f t="shared" ref="P149" si="267">G149</f>
        <v>625200</v>
      </c>
      <c r="Q149" s="456">
        <f t="shared" ref="Q149:AB149" si="268">$P149*Q318</f>
        <v>0</v>
      </c>
      <c r="R149" s="456">
        <f t="shared" si="268"/>
        <v>0</v>
      </c>
      <c r="S149" s="456">
        <f t="shared" si="268"/>
        <v>0</v>
      </c>
      <c r="T149" s="456">
        <f t="shared" si="268"/>
        <v>0</v>
      </c>
      <c r="U149" s="456">
        <f t="shared" si="268"/>
        <v>0</v>
      </c>
      <c r="V149" s="456">
        <f t="shared" si="268"/>
        <v>0</v>
      </c>
      <c r="W149" s="456">
        <f t="shared" si="268"/>
        <v>0</v>
      </c>
      <c r="X149" s="456">
        <f t="shared" si="268"/>
        <v>0</v>
      </c>
      <c r="Y149" s="456">
        <f t="shared" si="268"/>
        <v>0</v>
      </c>
      <c r="Z149" s="456">
        <f t="shared" si="268"/>
        <v>0</v>
      </c>
      <c r="AA149" s="456">
        <f t="shared" si="268"/>
        <v>0</v>
      </c>
      <c r="AB149" s="576">
        <f t="shared" si="268"/>
        <v>0</v>
      </c>
      <c r="AC149" s="595">
        <f>SUMIF('List of equipment'!$O:$O,'List of equipment'!$O$211,'List of equipment'!$Q:$Q)</f>
        <v>1</v>
      </c>
      <c r="AD149" s="595" t="str">
        <f t="shared" ref="AD149:AD164" si="269">IF(SUM(F149,O149)-AC149&gt;=0,"True","False")</f>
        <v>True</v>
      </c>
    </row>
    <row r="150" spans="1:30" s="25" customFormat="1">
      <c r="A150" s="331"/>
      <c r="B150" s="453"/>
      <c r="C150" s="541" t="str">
        <f t="shared" si="261"/>
        <v>CT Scan (&gt; 6 slides)</v>
      </c>
      <c r="D150" s="353"/>
      <c r="E150" s="357">
        <f t="shared" ref="E150:E164" si="270">SUM(H150:M150)</f>
        <v>350000</v>
      </c>
      <c r="F150" s="456">
        <f t="shared" ref="F150:G150" si="271">F319</f>
        <v>1</v>
      </c>
      <c r="G150" s="507">
        <f t="shared" si="271"/>
        <v>350000</v>
      </c>
      <c r="H150" s="456">
        <f t="shared" si="264"/>
        <v>0</v>
      </c>
      <c r="I150" s="456">
        <f t="shared" si="264"/>
        <v>0</v>
      </c>
      <c r="J150" s="456">
        <f t="shared" si="264"/>
        <v>350000</v>
      </c>
      <c r="K150" s="456">
        <f t="shared" si="264"/>
        <v>0</v>
      </c>
      <c r="L150" s="456">
        <f t="shared" si="264"/>
        <v>0</v>
      </c>
      <c r="M150" s="576">
        <f t="shared" si="264"/>
        <v>0</v>
      </c>
      <c r="N150" s="357">
        <f t="shared" ref="N150:N164" si="272">SUM(Q150:AB150)</f>
        <v>0</v>
      </c>
      <c r="O150" s="456">
        <f t="shared" si="266"/>
        <v>0</v>
      </c>
      <c r="P150" s="537">
        <f t="shared" ref="P150:P164" si="273">G150</f>
        <v>350000</v>
      </c>
      <c r="Q150" s="456">
        <f t="shared" ref="Q150:AB150" si="274">$P150*Q319</f>
        <v>0</v>
      </c>
      <c r="R150" s="456">
        <f t="shared" si="274"/>
        <v>0</v>
      </c>
      <c r="S150" s="456">
        <f t="shared" si="274"/>
        <v>0</v>
      </c>
      <c r="T150" s="456">
        <f t="shared" si="274"/>
        <v>0</v>
      </c>
      <c r="U150" s="456">
        <f t="shared" si="274"/>
        <v>0</v>
      </c>
      <c r="V150" s="456">
        <f t="shared" si="274"/>
        <v>0</v>
      </c>
      <c r="W150" s="456">
        <f t="shared" si="274"/>
        <v>0</v>
      </c>
      <c r="X150" s="456">
        <f t="shared" si="274"/>
        <v>0</v>
      </c>
      <c r="Y150" s="456">
        <f t="shared" si="274"/>
        <v>0</v>
      </c>
      <c r="Z150" s="456">
        <f t="shared" si="274"/>
        <v>0</v>
      </c>
      <c r="AA150" s="456">
        <f t="shared" si="274"/>
        <v>0</v>
      </c>
      <c r="AB150" s="576">
        <f t="shared" si="274"/>
        <v>0</v>
      </c>
      <c r="AC150" s="595">
        <f>SUMIF('List of equipment'!$O:$O,'List of equipment'!O10,'List of equipment'!$Q:$Q)</f>
        <v>20</v>
      </c>
      <c r="AD150" s="595" t="str">
        <f t="shared" si="269"/>
        <v>False</v>
      </c>
    </row>
    <row r="151" spans="1:30" s="25" customFormat="1">
      <c r="A151" s="331"/>
      <c r="B151" s="453"/>
      <c r="C151" s="541" t="str">
        <f t="shared" si="261"/>
        <v>X-Ray 500mA</v>
      </c>
      <c r="D151" s="353"/>
      <c r="E151" s="357">
        <f t="shared" si="270"/>
        <v>20500</v>
      </c>
      <c r="F151" s="456">
        <f t="shared" ref="F151:G151" si="275">F320</f>
        <v>1</v>
      </c>
      <c r="G151" s="507">
        <f t="shared" si="275"/>
        <v>20500</v>
      </c>
      <c r="H151" s="456">
        <f t="shared" si="264"/>
        <v>0</v>
      </c>
      <c r="I151" s="456">
        <f t="shared" si="264"/>
        <v>0</v>
      </c>
      <c r="J151" s="456">
        <f t="shared" si="264"/>
        <v>20500</v>
      </c>
      <c r="K151" s="456">
        <f t="shared" si="264"/>
        <v>0</v>
      </c>
      <c r="L151" s="456">
        <f t="shared" si="264"/>
        <v>0</v>
      </c>
      <c r="M151" s="576">
        <f t="shared" si="264"/>
        <v>0</v>
      </c>
      <c r="N151" s="357">
        <f t="shared" si="272"/>
        <v>41000</v>
      </c>
      <c r="O151" s="456">
        <f t="shared" si="266"/>
        <v>2</v>
      </c>
      <c r="P151" s="537">
        <f t="shared" si="273"/>
        <v>20500</v>
      </c>
      <c r="Q151" s="456">
        <f t="shared" ref="Q151:AB151" si="276">$P151*Q320</f>
        <v>0</v>
      </c>
      <c r="R151" s="456">
        <f t="shared" si="276"/>
        <v>0</v>
      </c>
      <c r="S151" s="456">
        <f t="shared" si="276"/>
        <v>20500</v>
      </c>
      <c r="T151" s="456">
        <f t="shared" si="276"/>
        <v>0</v>
      </c>
      <c r="U151" s="456">
        <f t="shared" si="276"/>
        <v>0</v>
      </c>
      <c r="V151" s="456">
        <f t="shared" si="276"/>
        <v>0</v>
      </c>
      <c r="W151" s="456">
        <f t="shared" si="276"/>
        <v>0</v>
      </c>
      <c r="X151" s="456">
        <f t="shared" si="276"/>
        <v>0</v>
      </c>
      <c r="Y151" s="456">
        <f t="shared" si="276"/>
        <v>0</v>
      </c>
      <c r="Z151" s="456">
        <f t="shared" si="276"/>
        <v>0</v>
      </c>
      <c r="AA151" s="456">
        <f t="shared" si="276"/>
        <v>0</v>
      </c>
      <c r="AB151" s="576">
        <f t="shared" si="276"/>
        <v>20500</v>
      </c>
      <c r="AC151" s="595">
        <f>SUM('List of equipment'!Q13:Q14)</f>
        <v>10</v>
      </c>
      <c r="AD151" s="595" t="str">
        <f t="shared" si="269"/>
        <v>False</v>
      </c>
    </row>
    <row r="152" spans="1:30" s="25" customFormat="1">
      <c r="A152" s="331"/>
      <c r="B152" s="453"/>
      <c r="C152" s="541" t="str">
        <f t="shared" si="261"/>
        <v>Portable X-Ray machine</v>
      </c>
      <c r="D152" s="353"/>
      <c r="E152" s="357">
        <f t="shared" si="270"/>
        <v>0</v>
      </c>
      <c r="F152" s="456">
        <f t="shared" ref="F152:G152" si="277">F321</f>
        <v>0</v>
      </c>
      <c r="G152" s="507">
        <f t="shared" si="277"/>
        <v>3120</v>
      </c>
      <c r="H152" s="456">
        <f t="shared" si="264"/>
        <v>0</v>
      </c>
      <c r="I152" s="456">
        <f t="shared" si="264"/>
        <v>0</v>
      </c>
      <c r="J152" s="456">
        <f t="shared" si="264"/>
        <v>0</v>
      </c>
      <c r="K152" s="456">
        <f t="shared" si="264"/>
        <v>0</v>
      </c>
      <c r="L152" s="456">
        <f t="shared" si="264"/>
        <v>0</v>
      </c>
      <c r="M152" s="576">
        <f t="shared" si="264"/>
        <v>0</v>
      </c>
      <c r="N152" s="357">
        <f t="shared" si="272"/>
        <v>6240</v>
      </c>
      <c r="O152" s="456">
        <f t="shared" si="266"/>
        <v>2</v>
      </c>
      <c r="P152" s="537">
        <f t="shared" si="273"/>
        <v>3120</v>
      </c>
      <c r="Q152" s="456">
        <f t="shared" ref="Q152:AB152" si="278">$P152*Q321</f>
        <v>0</v>
      </c>
      <c r="R152" s="456">
        <f t="shared" si="278"/>
        <v>0</v>
      </c>
      <c r="S152" s="456">
        <f t="shared" si="278"/>
        <v>3120</v>
      </c>
      <c r="T152" s="456">
        <f t="shared" si="278"/>
        <v>0</v>
      </c>
      <c r="U152" s="456">
        <f t="shared" si="278"/>
        <v>0</v>
      </c>
      <c r="V152" s="456">
        <f t="shared" si="278"/>
        <v>0</v>
      </c>
      <c r="W152" s="456">
        <f t="shared" si="278"/>
        <v>0</v>
      </c>
      <c r="X152" s="456">
        <f t="shared" si="278"/>
        <v>0</v>
      </c>
      <c r="Y152" s="456">
        <f t="shared" si="278"/>
        <v>0</v>
      </c>
      <c r="Z152" s="456">
        <f t="shared" si="278"/>
        <v>0</v>
      </c>
      <c r="AA152" s="456">
        <f t="shared" si="278"/>
        <v>0</v>
      </c>
      <c r="AB152" s="576">
        <f t="shared" si="278"/>
        <v>3120</v>
      </c>
      <c r="AC152" s="595">
        <f>SUM('List of equipment'!Q16)</f>
        <v>12</v>
      </c>
      <c r="AD152" s="595" t="str">
        <f t="shared" si="269"/>
        <v>False</v>
      </c>
    </row>
    <row r="153" spans="1:30" s="25" customFormat="1">
      <c r="A153" s="331"/>
      <c r="B153" s="453"/>
      <c r="C153" s="541" t="str">
        <f t="shared" si="261"/>
        <v>Mammography</v>
      </c>
      <c r="D153" s="353"/>
      <c r="E153" s="357">
        <f t="shared" si="270"/>
        <v>0</v>
      </c>
      <c r="F153" s="456">
        <f t="shared" ref="F153:G153" si="279">F322</f>
        <v>1</v>
      </c>
      <c r="G153" s="507">
        <f t="shared" si="279"/>
        <v>83000</v>
      </c>
      <c r="H153" s="456">
        <f t="shared" si="264"/>
        <v>0</v>
      </c>
      <c r="I153" s="456">
        <f t="shared" si="264"/>
        <v>0</v>
      </c>
      <c r="J153" s="456">
        <f t="shared" si="264"/>
        <v>0</v>
      </c>
      <c r="K153" s="456">
        <f t="shared" si="264"/>
        <v>0</v>
      </c>
      <c r="L153" s="456">
        <f t="shared" si="264"/>
        <v>0</v>
      </c>
      <c r="M153" s="576">
        <f t="shared" si="264"/>
        <v>0</v>
      </c>
      <c r="N153" s="357">
        <f t="shared" si="272"/>
        <v>83000</v>
      </c>
      <c r="O153" s="456">
        <f t="shared" si="266"/>
        <v>1</v>
      </c>
      <c r="P153" s="537">
        <f t="shared" si="273"/>
        <v>83000</v>
      </c>
      <c r="Q153" s="456">
        <f t="shared" ref="Q153:AB153" si="280">$P153*Q322</f>
        <v>0</v>
      </c>
      <c r="R153" s="456">
        <f t="shared" si="280"/>
        <v>0</v>
      </c>
      <c r="S153" s="456">
        <f t="shared" si="280"/>
        <v>83000</v>
      </c>
      <c r="T153" s="456">
        <f t="shared" si="280"/>
        <v>0</v>
      </c>
      <c r="U153" s="456">
        <f t="shared" si="280"/>
        <v>0</v>
      </c>
      <c r="V153" s="456">
        <f t="shared" si="280"/>
        <v>0</v>
      </c>
      <c r="W153" s="456">
        <f t="shared" si="280"/>
        <v>0</v>
      </c>
      <c r="X153" s="456">
        <f t="shared" si="280"/>
        <v>0</v>
      </c>
      <c r="Y153" s="456">
        <f t="shared" si="280"/>
        <v>0</v>
      </c>
      <c r="Z153" s="456">
        <f t="shared" si="280"/>
        <v>0</v>
      </c>
      <c r="AA153" s="456">
        <f t="shared" si="280"/>
        <v>0</v>
      </c>
      <c r="AB153" s="576">
        <f t="shared" si="280"/>
        <v>0</v>
      </c>
      <c r="AC153" s="595">
        <f>SUMIF('List of equipment'!$O:$O,'List of equipment'!O17,'List of equipment'!$Q:$Q)</f>
        <v>4</v>
      </c>
      <c r="AD153" s="595" t="str">
        <f t="shared" si="269"/>
        <v>False</v>
      </c>
    </row>
    <row r="154" spans="1:30" s="25" customFormat="1">
      <c r="A154" s="331"/>
      <c r="B154" s="453"/>
      <c r="C154" s="541" t="str">
        <f t="shared" si="261"/>
        <v>Color ultrasound machine</v>
      </c>
      <c r="D154" s="353"/>
      <c r="E154" s="357">
        <f t="shared" si="270"/>
        <v>0</v>
      </c>
      <c r="F154" s="456">
        <f t="shared" ref="F154:G154" si="281">F323</f>
        <v>1</v>
      </c>
      <c r="G154" s="507">
        <f t="shared" si="281"/>
        <v>75000</v>
      </c>
      <c r="H154" s="456">
        <f t="shared" si="264"/>
        <v>0</v>
      </c>
      <c r="I154" s="456">
        <f t="shared" si="264"/>
        <v>0</v>
      </c>
      <c r="J154" s="456">
        <f t="shared" si="264"/>
        <v>0</v>
      </c>
      <c r="K154" s="456">
        <f t="shared" si="264"/>
        <v>0</v>
      </c>
      <c r="L154" s="456">
        <f t="shared" si="264"/>
        <v>0</v>
      </c>
      <c r="M154" s="576">
        <f t="shared" si="264"/>
        <v>0</v>
      </c>
      <c r="N154" s="357">
        <f t="shared" si="272"/>
        <v>75000</v>
      </c>
      <c r="O154" s="456">
        <f t="shared" si="266"/>
        <v>1</v>
      </c>
      <c r="P154" s="537">
        <f t="shared" si="273"/>
        <v>75000</v>
      </c>
      <c r="Q154" s="456">
        <f t="shared" ref="Q154:AB154" si="282">$P154*Q323</f>
        <v>0</v>
      </c>
      <c r="R154" s="456">
        <f t="shared" si="282"/>
        <v>0</v>
      </c>
      <c r="S154" s="456">
        <f t="shared" si="282"/>
        <v>75000</v>
      </c>
      <c r="T154" s="456">
        <f t="shared" si="282"/>
        <v>0</v>
      </c>
      <c r="U154" s="456">
        <f t="shared" si="282"/>
        <v>0</v>
      </c>
      <c r="V154" s="456">
        <f t="shared" si="282"/>
        <v>0</v>
      </c>
      <c r="W154" s="456">
        <f t="shared" si="282"/>
        <v>0</v>
      </c>
      <c r="X154" s="456">
        <f t="shared" si="282"/>
        <v>0</v>
      </c>
      <c r="Y154" s="456">
        <f t="shared" si="282"/>
        <v>0</v>
      </c>
      <c r="Z154" s="456">
        <f t="shared" si="282"/>
        <v>0</v>
      </c>
      <c r="AA154" s="456">
        <f t="shared" si="282"/>
        <v>0</v>
      </c>
      <c r="AB154" s="576">
        <f t="shared" si="282"/>
        <v>0</v>
      </c>
      <c r="AC154" s="595">
        <f>'List of equipment'!Q19</f>
        <v>12</v>
      </c>
      <c r="AD154" s="595" t="str">
        <f t="shared" si="269"/>
        <v>False</v>
      </c>
    </row>
    <row r="155" spans="1:30" s="25" customFormat="1">
      <c r="A155" s="331"/>
      <c r="B155" s="453"/>
      <c r="C155" s="541" t="str">
        <f t="shared" si="261"/>
        <v>Multi-dimension ultrasound machine</v>
      </c>
      <c r="D155" s="353"/>
      <c r="E155" s="357">
        <f t="shared" si="270"/>
        <v>0</v>
      </c>
      <c r="F155" s="456">
        <f t="shared" ref="F155:G155" si="283">F324</f>
        <v>0</v>
      </c>
      <c r="G155" s="507">
        <f t="shared" si="283"/>
        <v>82000</v>
      </c>
      <c r="H155" s="456">
        <f t="shared" si="264"/>
        <v>0</v>
      </c>
      <c r="I155" s="456">
        <f t="shared" si="264"/>
        <v>0</v>
      </c>
      <c r="J155" s="456">
        <f t="shared" si="264"/>
        <v>0</v>
      </c>
      <c r="K155" s="456">
        <f t="shared" si="264"/>
        <v>0</v>
      </c>
      <c r="L155" s="456">
        <f t="shared" si="264"/>
        <v>0</v>
      </c>
      <c r="M155" s="576">
        <f t="shared" si="264"/>
        <v>0</v>
      </c>
      <c r="N155" s="357">
        <f t="shared" si="272"/>
        <v>82000</v>
      </c>
      <c r="O155" s="456">
        <f t="shared" si="266"/>
        <v>1</v>
      </c>
      <c r="P155" s="537">
        <f t="shared" si="273"/>
        <v>82000</v>
      </c>
      <c r="Q155" s="456">
        <f t="shared" ref="Q155:AB155" si="284">$P155*Q324</f>
        <v>0</v>
      </c>
      <c r="R155" s="456">
        <f t="shared" si="284"/>
        <v>0</v>
      </c>
      <c r="S155" s="456">
        <f t="shared" si="284"/>
        <v>82000</v>
      </c>
      <c r="T155" s="456">
        <f t="shared" si="284"/>
        <v>0</v>
      </c>
      <c r="U155" s="456">
        <f t="shared" si="284"/>
        <v>0</v>
      </c>
      <c r="V155" s="456">
        <f t="shared" si="284"/>
        <v>0</v>
      </c>
      <c r="W155" s="456">
        <f t="shared" si="284"/>
        <v>0</v>
      </c>
      <c r="X155" s="456">
        <f t="shared" si="284"/>
        <v>0</v>
      </c>
      <c r="Y155" s="456">
        <f t="shared" si="284"/>
        <v>0</v>
      </c>
      <c r="Z155" s="456">
        <f t="shared" si="284"/>
        <v>0</v>
      </c>
      <c r="AA155" s="456">
        <f t="shared" si="284"/>
        <v>0</v>
      </c>
      <c r="AB155" s="576">
        <f t="shared" si="284"/>
        <v>0</v>
      </c>
      <c r="AC155" s="595">
        <v>0</v>
      </c>
      <c r="AD155" s="595" t="str">
        <f t="shared" si="269"/>
        <v>True</v>
      </c>
    </row>
    <row r="156" spans="1:30" s="25" customFormat="1">
      <c r="A156" s="331"/>
      <c r="B156" s="453"/>
      <c r="C156" s="541" t="str">
        <f t="shared" si="261"/>
        <v>Black and white ultrasound machine</v>
      </c>
      <c r="D156" s="353"/>
      <c r="E156" s="357">
        <f t="shared" si="270"/>
        <v>22000</v>
      </c>
      <c r="F156" s="456">
        <f t="shared" ref="F156:G156" si="285">F325</f>
        <v>1</v>
      </c>
      <c r="G156" s="507">
        <f t="shared" si="285"/>
        <v>22000</v>
      </c>
      <c r="H156" s="456">
        <f t="shared" si="264"/>
        <v>0</v>
      </c>
      <c r="I156" s="456">
        <f t="shared" si="264"/>
        <v>0</v>
      </c>
      <c r="J156" s="456">
        <f t="shared" si="264"/>
        <v>22000</v>
      </c>
      <c r="K156" s="456">
        <f t="shared" si="264"/>
        <v>0</v>
      </c>
      <c r="L156" s="456">
        <f t="shared" si="264"/>
        <v>0</v>
      </c>
      <c r="M156" s="576">
        <f t="shared" si="264"/>
        <v>0</v>
      </c>
      <c r="N156" s="357">
        <f t="shared" si="272"/>
        <v>44000</v>
      </c>
      <c r="O156" s="456">
        <f t="shared" si="266"/>
        <v>2</v>
      </c>
      <c r="P156" s="537">
        <f t="shared" si="273"/>
        <v>22000</v>
      </c>
      <c r="Q156" s="456">
        <f t="shared" ref="Q156:AB156" si="286">$P156*Q325</f>
        <v>0</v>
      </c>
      <c r="R156" s="456">
        <f t="shared" si="286"/>
        <v>0</v>
      </c>
      <c r="S156" s="456">
        <f t="shared" si="286"/>
        <v>22000</v>
      </c>
      <c r="T156" s="456">
        <f t="shared" si="286"/>
        <v>0</v>
      </c>
      <c r="U156" s="456">
        <f t="shared" si="286"/>
        <v>0</v>
      </c>
      <c r="V156" s="456">
        <f t="shared" si="286"/>
        <v>0</v>
      </c>
      <c r="W156" s="456">
        <f t="shared" si="286"/>
        <v>0</v>
      </c>
      <c r="X156" s="456">
        <f t="shared" si="286"/>
        <v>0</v>
      </c>
      <c r="Y156" s="456">
        <f t="shared" si="286"/>
        <v>0</v>
      </c>
      <c r="Z156" s="456">
        <f t="shared" si="286"/>
        <v>0</v>
      </c>
      <c r="AA156" s="456">
        <f t="shared" si="286"/>
        <v>0</v>
      </c>
      <c r="AB156" s="576">
        <f t="shared" si="286"/>
        <v>22000</v>
      </c>
      <c r="AC156" s="595">
        <f>'List of equipment'!Q20</f>
        <v>2</v>
      </c>
      <c r="AD156" s="595" t="str">
        <f t="shared" si="269"/>
        <v>True</v>
      </c>
    </row>
    <row r="157" spans="1:30" s="25" customFormat="1">
      <c r="A157" s="331"/>
      <c r="B157" s="453"/>
      <c r="C157" s="541" t="str">
        <f t="shared" si="261"/>
        <v>Transeranial doppler</v>
      </c>
      <c r="D157" s="353"/>
      <c r="E157" s="357">
        <f t="shared" si="270"/>
        <v>0</v>
      </c>
      <c r="F157" s="456">
        <f t="shared" ref="F157:G157" si="287">F326</f>
        <v>0</v>
      </c>
      <c r="G157" s="507">
        <f t="shared" si="287"/>
        <v>32200</v>
      </c>
      <c r="H157" s="456">
        <f t="shared" si="264"/>
        <v>0</v>
      </c>
      <c r="I157" s="456">
        <f t="shared" si="264"/>
        <v>0</v>
      </c>
      <c r="J157" s="456">
        <f t="shared" si="264"/>
        <v>0</v>
      </c>
      <c r="K157" s="456">
        <f t="shared" si="264"/>
        <v>0</v>
      </c>
      <c r="L157" s="456">
        <f t="shared" si="264"/>
        <v>0</v>
      </c>
      <c r="M157" s="576">
        <f t="shared" si="264"/>
        <v>0</v>
      </c>
      <c r="N157" s="357">
        <f t="shared" si="272"/>
        <v>32200</v>
      </c>
      <c r="O157" s="456">
        <f t="shared" si="266"/>
        <v>1</v>
      </c>
      <c r="P157" s="537">
        <f t="shared" si="273"/>
        <v>32200</v>
      </c>
      <c r="Q157" s="456">
        <f t="shared" ref="Q157:AB157" si="288">$P157*Q326</f>
        <v>0</v>
      </c>
      <c r="R157" s="456">
        <f t="shared" si="288"/>
        <v>0</v>
      </c>
      <c r="S157" s="456">
        <f t="shared" si="288"/>
        <v>32200</v>
      </c>
      <c r="T157" s="456">
        <f t="shared" si="288"/>
        <v>0</v>
      </c>
      <c r="U157" s="456">
        <f t="shared" si="288"/>
        <v>0</v>
      </c>
      <c r="V157" s="456">
        <f t="shared" si="288"/>
        <v>0</v>
      </c>
      <c r="W157" s="456">
        <f t="shared" si="288"/>
        <v>0</v>
      </c>
      <c r="X157" s="456">
        <f t="shared" si="288"/>
        <v>0</v>
      </c>
      <c r="Y157" s="456">
        <f t="shared" si="288"/>
        <v>0</v>
      </c>
      <c r="Z157" s="456">
        <f t="shared" si="288"/>
        <v>0</v>
      </c>
      <c r="AA157" s="456">
        <f t="shared" si="288"/>
        <v>0</v>
      </c>
      <c r="AB157" s="576">
        <f t="shared" si="288"/>
        <v>0</v>
      </c>
      <c r="AC157" s="595">
        <f>SUMIF('List of equipment'!$O:$O,'List of equipment'!$O$211,'List of equipment'!$Q:$Q)</f>
        <v>1</v>
      </c>
      <c r="AD157" s="595" t="str">
        <f t="shared" si="269"/>
        <v>True</v>
      </c>
    </row>
    <row r="158" spans="1:30" s="25" customFormat="1">
      <c r="A158" s="331"/>
      <c r="B158" s="453"/>
      <c r="C158" s="541" t="str">
        <f t="shared" si="261"/>
        <v>Endoscopy (stomach, colon)</v>
      </c>
      <c r="D158" s="353"/>
      <c r="E158" s="357">
        <f t="shared" si="270"/>
        <v>65000</v>
      </c>
      <c r="F158" s="456">
        <f t="shared" ref="F158:G158" si="289">F327</f>
        <v>1</v>
      </c>
      <c r="G158" s="507">
        <f t="shared" si="289"/>
        <v>65000</v>
      </c>
      <c r="H158" s="456">
        <f t="shared" si="264"/>
        <v>0</v>
      </c>
      <c r="I158" s="456">
        <f t="shared" si="264"/>
        <v>0</v>
      </c>
      <c r="J158" s="456">
        <f t="shared" si="264"/>
        <v>65000</v>
      </c>
      <c r="K158" s="456">
        <f t="shared" si="264"/>
        <v>0</v>
      </c>
      <c r="L158" s="456">
        <f t="shared" si="264"/>
        <v>0</v>
      </c>
      <c r="M158" s="576">
        <f t="shared" si="264"/>
        <v>0</v>
      </c>
      <c r="N158" s="357">
        <f t="shared" si="272"/>
        <v>65000</v>
      </c>
      <c r="O158" s="456">
        <f t="shared" si="266"/>
        <v>1</v>
      </c>
      <c r="P158" s="537">
        <f t="shared" si="273"/>
        <v>65000</v>
      </c>
      <c r="Q158" s="456">
        <f t="shared" ref="Q158:AB158" si="290">$P158*Q327</f>
        <v>0</v>
      </c>
      <c r="R158" s="456">
        <f t="shared" si="290"/>
        <v>0</v>
      </c>
      <c r="S158" s="456">
        <f t="shared" si="290"/>
        <v>65000</v>
      </c>
      <c r="T158" s="456">
        <f t="shared" si="290"/>
        <v>0</v>
      </c>
      <c r="U158" s="456">
        <f t="shared" si="290"/>
        <v>0</v>
      </c>
      <c r="V158" s="456">
        <f t="shared" si="290"/>
        <v>0</v>
      </c>
      <c r="W158" s="456">
        <f t="shared" si="290"/>
        <v>0</v>
      </c>
      <c r="X158" s="456">
        <f t="shared" si="290"/>
        <v>0</v>
      </c>
      <c r="Y158" s="456">
        <f t="shared" si="290"/>
        <v>0</v>
      </c>
      <c r="Z158" s="456">
        <f t="shared" si="290"/>
        <v>0</v>
      </c>
      <c r="AA158" s="456">
        <f t="shared" si="290"/>
        <v>0</v>
      </c>
      <c r="AB158" s="576">
        <f t="shared" si="290"/>
        <v>0</v>
      </c>
      <c r="AC158" s="595">
        <f>'List of equipment'!Q46+'List of equipment'!Q45</f>
        <v>17</v>
      </c>
      <c r="AD158" s="595" t="str">
        <f t="shared" si="269"/>
        <v>False</v>
      </c>
    </row>
    <row r="159" spans="1:30" s="25" customFormat="1">
      <c r="A159" s="331"/>
      <c r="B159" s="453"/>
      <c r="C159" s="541" t="str">
        <f t="shared" si="261"/>
        <v>Endoscopy (bronchial)</v>
      </c>
      <c r="D159" s="353"/>
      <c r="E159" s="357">
        <f t="shared" si="270"/>
        <v>0</v>
      </c>
      <c r="F159" s="456">
        <f t="shared" ref="F159:G159" si="291">F328</f>
        <v>0</v>
      </c>
      <c r="G159" s="507">
        <f t="shared" si="291"/>
        <v>50000</v>
      </c>
      <c r="H159" s="456">
        <f t="shared" ref="H159:M164" si="292">$G159*H328</f>
        <v>0</v>
      </c>
      <c r="I159" s="456">
        <f t="shared" si="292"/>
        <v>0</v>
      </c>
      <c r="J159" s="456">
        <f t="shared" si="292"/>
        <v>0</v>
      </c>
      <c r="K159" s="456">
        <f t="shared" si="292"/>
        <v>0</v>
      </c>
      <c r="L159" s="456">
        <f t="shared" si="292"/>
        <v>0</v>
      </c>
      <c r="M159" s="576">
        <f t="shared" si="292"/>
        <v>0</v>
      </c>
      <c r="N159" s="357">
        <f t="shared" si="272"/>
        <v>50000</v>
      </c>
      <c r="O159" s="456">
        <f t="shared" si="266"/>
        <v>1</v>
      </c>
      <c r="P159" s="537">
        <f t="shared" si="273"/>
        <v>50000</v>
      </c>
      <c r="Q159" s="456">
        <f t="shared" ref="Q159:AB159" si="293">$P159*Q328</f>
        <v>0</v>
      </c>
      <c r="R159" s="456">
        <f t="shared" si="293"/>
        <v>0</v>
      </c>
      <c r="S159" s="456">
        <f t="shared" si="293"/>
        <v>50000</v>
      </c>
      <c r="T159" s="456">
        <f t="shared" si="293"/>
        <v>0</v>
      </c>
      <c r="U159" s="456">
        <f t="shared" si="293"/>
        <v>0</v>
      </c>
      <c r="V159" s="456">
        <f t="shared" si="293"/>
        <v>0</v>
      </c>
      <c r="W159" s="456">
        <f t="shared" si="293"/>
        <v>0</v>
      </c>
      <c r="X159" s="456">
        <f t="shared" si="293"/>
        <v>0</v>
      </c>
      <c r="Y159" s="456">
        <f t="shared" si="293"/>
        <v>0</v>
      </c>
      <c r="Z159" s="456">
        <f t="shared" si="293"/>
        <v>0</v>
      </c>
      <c r="AA159" s="456">
        <f t="shared" si="293"/>
        <v>0</v>
      </c>
      <c r="AB159" s="576">
        <f t="shared" si="293"/>
        <v>0</v>
      </c>
      <c r="AC159" s="595">
        <f>'List of equipment'!Q50</f>
        <v>1</v>
      </c>
      <c r="AD159" s="595" t="str">
        <f t="shared" si="269"/>
        <v>True</v>
      </c>
    </row>
    <row r="160" spans="1:30" s="25" customFormat="1">
      <c r="A160" s="331"/>
      <c r="B160" s="453"/>
      <c r="C160" s="541" t="str">
        <f t="shared" si="261"/>
        <v>Endoscopy (urinary)</v>
      </c>
      <c r="D160" s="353"/>
      <c r="E160" s="357">
        <f t="shared" si="270"/>
        <v>0</v>
      </c>
      <c r="F160" s="456">
        <f t="shared" ref="F160:G160" si="294">F329</f>
        <v>0</v>
      </c>
      <c r="G160" s="507">
        <f t="shared" si="294"/>
        <v>40000</v>
      </c>
      <c r="H160" s="456">
        <f t="shared" si="292"/>
        <v>0</v>
      </c>
      <c r="I160" s="456">
        <f t="shared" si="292"/>
        <v>0</v>
      </c>
      <c r="J160" s="456">
        <f t="shared" si="292"/>
        <v>0</v>
      </c>
      <c r="K160" s="456">
        <f t="shared" si="292"/>
        <v>0</v>
      </c>
      <c r="L160" s="456">
        <f t="shared" si="292"/>
        <v>0</v>
      </c>
      <c r="M160" s="576">
        <f t="shared" si="292"/>
        <v>0</v>
      </c>
      <c r="N160" s="357">
        <f t="shared" si="272"/>
        <v>40000</v>
      </c>
      <c r="O160" s="456">
        <f t="shared" si="266"/>
        <v>1</v>
      </c>
      <c r="P160" s="537">
        <f t="shared" si="273"/>
        <v>40000</v>
      </c>
      <c r="Q160" s="456">
        <f t="shared" ref="Q160:AB160" si="295">$P160*Q329</f>
        <v>0</v>
      </c>
      <c r="R160" s="456">
        <f t="shared" si="295"/>
        <v>0</v>
      </c>
      <c r="S160" s="456">
        <f t="shared" si="295"/>
        <v>40000</v>
      </c>
      <c r="T160" s="456">
        <f t="shared" si="295"/>
        <v>0</v>
      </c>
      <c r="U160" s="456">
        <f t="shared" si="295"/>
        <v>0</v>
      </c>
      <c r="V160" s="456">
        <f t="shared" si="295"/>
        <v>0</v>
      </c>
      <c r="W160" s="456">
        <f t="shared" si="295"/>
        <v>0</v>
      </c>
      <c r="X160" s="456">
        <f t="shared" si="295"/>
        <v>0</v>
      </c>
      <c r="Y160" s="456">
        <f t="shared" si="295"/>
        <v>0</v>
      </c>
      <c r="Z160" s="456">
        <f t="shared" si="295"/>
        <v>0</v>
      </c>
      <c r="AA160" s="456">
        <f t="shared" si="295"/>
        <v>0</v>
      </c>
      <c r="AB160" s="576">
        <f t="shared" si="295"/>
        <v>0</v>
      </c>
      <c r="AC160" s="595">
        <v>0</v>
      </c>
      <c r="AD160" s="595" t="str">
        <f t="shared" si="269"/>
        <v>True</v>
      </c>
    </row>
    <row r="161" spans="1:30" s="25" customFormat="1">
      <c r="A161" s="331"/>
      <c r="B161" s="453"/>
      <c r="C161" s="541" t="str">
        <f t="shared" si="261"/>
        <v>C-arm machine</v>
      </c>
      <c r="D161" s="353"/>
      <c r="E161" s="357">
        <f t="shared" si="270"/>
        <v>49720</v>
      </c>
      <c r="F161" s="456">
        <f t="shared" ref="F161:G161" si="296">F330</f>
        <v>1</v>
      </c>
      <c r="G161" s="507">
        <f t="shared" si="296"/>
        <v>49720</v>
      </c>
      <c r="H161" s="456">
        <f t="shared" si="292"/>
        <v>0</v>
      </c>
      <c r="I161" s="456">
        <f t="shared" si="292"/>
        <v>0</v>
      </c>
      <c r="J161" s="456">
        <f t="shared" si="292"/>
        <v>49720</v>
      </c>
      <c r="K161" s="456">
        <f t="shared" si="292"/>
        <v>0</v>
      </c>
      <c r="L161" s="456">
        <f t="shared" si="292"/>
        <v>0</v>
      </c>
      <c r="M161" s="576">
        <f t="shared" si="292"/>
        <v>0</v>
      </c>
      <c r="N161" s="357">
        <f t="shared" si="272"/>
        <v>49720</v>
      </c>
      <c r="O161" s="456">
        <f t="shared" si="266"/>
        <v>1</v>
      </c>
      <c r="P161" s="537">
        <f t="shared" si="273"/>
        <v>49720</v>
      </c>
      <c r="Q161" s="456">
        <f t="shared" ref="Q161:AB161" si="297">$P161*Q330</f>
        <v>0</v>
      </c>
      <c r="R161" s="456">
        <f t="shared" si="297"/>
        <v>0</v>
      </c>
      <c r="S161" s="456">
        <f t="shared" si="297"/>
        <v>49720</v>
      </c>
      <c r="T161" s="456">
        <f t="shared" si="297"/>
        <v>0</v>
      </c>
      <c r="U161" s="456">
        <f t="shared" si="297"/>
        <v>0</v>
      </c>
      <c r="V161" s="456">
        <f t="shared" si="297"/>
        <v>0</v>
      </c>
      <c r="W161" s="456">
        <f t="shared" si="297"/>
        <v>0</v>
      </c>
      <c r="X161" s="456">
        <f t="shared" si="297"/>
        <v>0</v>
      </c>
      <c r="Y161" s="456">
        <f t="shared" si="297"/>
        <v>0</v>
      </c>
      <c r="Z161" s="456">
        <f t="shared" si="297"/>
        <v>0</v>
      </c>
      <c r="AA161" s="456">
        <f t="shared" si="297"/>
        <v>0</v>
      </c>
      <c r="AB161" s="576">
        <f t="shared" si="297"/>
        <v>0</v>
      </c>
      <c r="AC161" s="595">
        <f>SUMIF('List of equipment'!$O:$O,'List of equipment'!$O$218,'List of equipment'!$Q:$Q)</f>
        <v>1</v>
      </c>
      <c r="AD161" s="595" t="str">
        <f t="shared" si="269"/>
        <v>True</v>
      </c>
    </row>
    <row r="162" spans="1:30" s="25" customFormat="1">
      <c r="A162" s="331"/>
      <c r="B162" s="453"/>
      <c r="C162" s="541" t="str">
        <f t="shared" si="261"/>
        <v>Medical X-ray Processor</v>
      </c>
      <c r="D162" s="353"/>
      <c r="E162" s="357">
        <f t="shared" si="270"/>
        <v>5886</v>
      </c>
      <c r="F162" s="456">
        <f t="shared" ref="F162:G163" si="298">F331</f>
        <v>1</v>
      </c>
      <c r="G162" s="507">
        <f t="shared" si="298"/>
        <v>5886</v>
      </c>
      <c r="H162" s="456">
        <f t="shared" si="292"/>
        <v>0</v>
      </c>
      <c r="I162" s="456">
        <f t="shared" si="292"/>
        <v>0</v>
      </c>
      <c r="J162" s="456">
        <f t="shared" si="292"/>
        <v>5886</v>
      </c>
      <c r="K162" s="456">
        <f t="shared" si="292"/>
        <v>0</v>
      </c>
      <c r="L162" s="456">
        <f t="shared" si="292"/>
        <v>0</v>
      </c>
      <c r="M162" s="576">
        <f t="shared" si="292"/>
        <v>0</v>
      </c>
      <c r="N162" s="357">
        <f t="shared" si="272"/>
        <v>5886</v>
      </c>
      <c r="O162" s="456">
        <f t="shared" si="266"/>
        <v>1</v>
      </c>
      <c r="P162" s="537">
        <f t="shared" si="273"/>
        <v>5886</v>
      </c>
      <c r="Q162" s="456">
        <f t="shared" ref="Q162:AB162" si="299">$P162*Q331</f>
        <v>0</v>
      </c>
      <c r="R162" s="456">
        <f t="shared" si="299"/>
        <v>0</v>
      </c>
      <c r="S162" s="456">
        <f t="shared" si="299"/>
        <v>5886</v>
      </c>
      <c r="T162" s="456">
        <f t="shared" si="299"/>
        <v>0</v>
      </c>
      <c r="U162" s="456">
        <f t="shared" si="299"/>
        <v>0</v>
      </c>
      <c r="V162" s="456">
        <f t="shared" si="299"/>
        <v>0</v>
      </c>
      <c r="W162" s="456">
        <f t="shared" si="299"/>
        <v>0</v>
      </c>
      <c r="X162" s="456">
        <f t="shared" si="299"/>
        <v>0</v>
      </c>
      <c r="Y162" s="456">
        <f t="shared" si="299"/>
        <v>0</v>
      </c>
      <c r="Z162" s="456">
        <f t="shared" si="299"/>
        <v>0</v>
      </c>
      <c r="AA162" s="456">
        <f t="shared" si="299"/>
        <v>0</v>
      </c>
      <c r="AB162" s="576">
        <f t="shared" si="299"/>
        <v>0</v>
      </c>
      <c r="AC162" s="595">
        <f>'List of equipment'!Q34</f>
        <v>2</v>
      </c>
      <c r="AD162" s="595" t="str">
        <f t="shared" si="269"/>
        <v>True</v>
      </c>
    </row>
    <row r="163" spans="1:30" s="25" customFormat="1">
      <c r="A163" s="331"/>
      <c r="B163" s="453"/>
      <c r="C163" s="541" t="str">
        <f t="shared" si="261"/>
        <v>PET-Scan</v>
      </c>
      <c r="D163" s="353"/>
      <c r="E163" s="357">
        <f t="shared" ref="E163" si="300">SUM(H163:M163)</f>
        <v>1000000</v>
      </c>
      <c r="F163" s="456">
        <f t="shared" si="298"/>
        <v>1</v>
      </c>
      <c r="G163" s="507">
        <f t="shared" si="298"/>
        <v>1000000</v>
      </c>
      <c r="H163" s="456">
        <f t="shared" si="292"/>
        <v>0</v>
      </c>
      <c r="I163" s="456">
        <f t="shared" si="292"/>
        <v>0</v>
      </c>
      <c r="J163" s="456">
        <f t="shared" si="292"/>
        <v>1000000</v>
      </c>
      <c r="K163" s="456">
        <f t="shared" si="292"/>
        <v>0</v>
      </c>
      <c r="L163" s="456">
        <f t="shared" si="292"/>
        <v>0</v>
      </c>
      <c r="M163" s="576">
        <f t="shared" si="292"/>
        <v>0</v>
      </c>
      <c r="N163" s="357">
        <f t="shared" ref="N163" si="301">SUM(Q163:AB163)</f>
        <v>0</v>
      </c>
      <c r="O163" s="456">
        <f t="shared" si="266"/>
        <v>0</v>
      </c>
      <c r="P163" s="537">
        <f t="shared" ref="P163" si="302">G163</f>
        <v>1000000</v>
      </c>
      <c r="Q163" s="456">
        <f t="shared" ref="Q163:AB163" si="303">$P163*Q332</f>
        <v>0</v>
      </c>
      <c r="R163" s="456">
        <f t="shared" si="303"/>
        <v>0</v>
      </c>
      <c r="S163" s="456">
        <f t="shared" si="303"/>
        <v>0</v>
      </c>
      <c r="T163" s="456">
        <f t="shared" si="303"/>
        <v>0</v>
      </c>
      <c r="U163" s="456">
        <f t="shared" si="303"/>
        <v>0</v>
      </c>
      <c r="V163" s="456">
        <f t="shared" si="303"/>
        <v>0</v>
      </c>
      <c r="W163" s="456">
        <f t="shared" si="303"/>
        <v>0</v>
      </c>
      <c r="X163" s="456">
        <f t="shared" si="303"/>
        <v>0</v>
      </c>
      <c r="Y163" s="456">
        <f t="shared" si="303"/>
        <v>0</v>
      </c>
      <c r="Z163" s="456">
        <f t="shared" si="303"/>
        <v>0</v>
      </c>
      <c r="AA163" s="456">
        <f t="shared" si="303"/>
        <v>0</v>
      </c>
      <c r="AB163" s="576">
        <f t="shared" si="303"/>
        <v>0</v>
      </c>
      <c r="AC163" s="595"/>
      <c r="AD163" s="595"/>
    </row>
    <row r="164" spans="1:30" s="25" customFormat="1">
      <c r="A164" s="331"/>
      <c r="B164" s="453"/>
      <c r="C164" s="541" t="str">
        <f>C333</f>
        <v>Dryview laser imager</v>
      </c>
      <c r="D164" s="353"/>
      <c r="E164" s="357">
        <f t="shared" si="270"/>
        <v>0</v>
      </c>
      <c r="F164" s="456">
        <f t="shared" ref="F164:G164" si="304">F333</f>
        <v>0</v>
      </c>
      <c r="G164" s="507">
        <f t="shared" si="304"/>
        <v>1250</v>
      </c>
      <c r="H164" s="456">
        <f t="shared" si="292"/>
        <v>0</v>
      </c>
      <c r="I164" s="456">
        <f t="shared" si="292"/>
        <v>0</v>
      </c>
      <c r="J164" s="456">
        <f t="shared" si="292"/>
        <v>0</v>
      </c>
      <c r="K164" s="456">
        <f t="shared" si="292"/>
        <v>0</v>
      </c>
      <c r="L164" s="456">
        <f t="shared" si="292"/>
        <v>0</v>
      </c>
      <c r="M164" s="576">
        <f t="shared" si="292"/>
        <v>0</v>
      </c>
      <c r="N164" s="357">
        <f t="shared" si="272"/>
        <v>1250</v>
      </c>
      <c r="O164" s="456">
        <f>O333</f>
        <v>1</v>
      </c>
      <c r="P164" s="537">
        <f t="shared" si="273"/>
        <v>1250</v>
      </c>
      <c r="Q164" s="456">
        <f t="shared" ref="Q164:AB164" si="305">$P164*Q333</f>
        <v>0</v>
      </c>
      <c r="R164" s="456">
        <f t="shared" si="305"/>
        <v>0</v>
      </c>
      <c r="S164" s="456">
        <f t="shared" si="305"/>
        <v>1250</v>
      </c>
      <c r="T164" s="456">
        <f t="shared" si="305"/>
        <v>0</v>
      </c>
      <c r="U164" s="456">
        <f t="shared" si="305"/>
        <v>0</v>
      </c>
      <c r="V164" s="456">
        <f t="shared" si="305"/>
        <v>0</v>
      </c>
      <c r="W164" s="456">
        <f t="shared" si="305"/>
        <v>0</v>
      </c>
      <c r="X164" s="456">
        <f t="shared" si="305"/>
        <v>0</v>
      </c>
      <c r="Y164" s="456">
        <f t="shared" si="305"/>
        <v>0</v>
      </c>
      <c r="Z164" s="456">
        <f t="shared" si="305"/>
        <v>0</v>
      </c>
      <c r="AA164" s="456">
        <f t="shared" si="305"/>
        <v>0</v>
      </c>
      <c r="AB164" s="576">
        <f t="shared" si="305"/>
        <v>0</v>
      </c>
      <c r="AC164" s="595">
        <v>0</v>
      </c>
      <c r="AD164" s="595" t="str">
        <f t="shared" si="269"/>
        <v>True</v>
      </c>
    </row>
    <row r="165" spans="1:30" s="25" customFormat="1" ht="15">
      <c r="A165" s="331"/>
      <c r="B165" s="453"/>
      <c r="C165" s="499" t="s">
        <v>234</v>
      </c>
      <c r="D165" s="343"/>
      <c r="E165" s="370">
        <f>SUM(E149:E164)</f>
        <v>2138306</v>
      </c>
      <c r="F165" s="503"/>
      <c r="G165" s="525"/>
      <c r="H165" s="530">
        <f t="shared" ref="H165:N165" si="306">SUM(H149:H164)</f>
        <v>0</v>
      </c>
      <c r="I165" s="530">
        <f t="shared" si="306"/>
        <v>0</v>
      </c>
      <c r="J165" s="530">
        <f t="shared" si="306"/>
        <v>2138306</v>
      </c>
      <c r="K165" s="530">
        <f t="shared" si="306"/>
        <v>0</v>
      </c>
      <c r="L165" s="530">
        <f t="shared" si="306"/>
        <v>0</v>
      </c>
      <c r="M165" s="577">
        <f t="shared" si="306"/>
        <v>0</v>
      </c>
      <c r="N165" s="370">
        <f t="shared" si="306"/>
        <v>575296</v>
      </c>
      <c r="O165" s="545"/>
      <c r="P165" s="546"/>
      <c r="Q165" s="530">
        <f t="shared" ref="Q165:AB165" si="307">SUM(Q149:Q164)</f>
        <v>0</v>
      </c>
      <c r="R165" s="530">
        <f t="shared" si="307"/>
        <v>0</v>
      </c>
      <c r="S165" s="530">
        <f t="shared" si="307"/>
        <v>529676</v>
      </c>
      <c r="T165" s="530">
        <f t="shared" si="307"/>
        <v>0</v>
      </c>
      <c r="U165" s="530">
        <f t="shared" si="307"/>
        <v>0</v>
      </c>
      <c r="V165" s="530">
        <f t="shared" si="307"/>
        <v>0</v>
      </c>
      <c r="W165" s="530">
        <f t="shared" si="307"/>
        <v>0</v>
      </c>
      <c r="X165" s="530">
        <f t="shared" si="307"/>
        <v>0</v>
      </c>
      <c r="Y165" s="530">
        <f t="shared" si="307"/>
        <v>0</v>
      </c>
      <c r="Z165" s="530">
        <f t="shared" si="307"/>
        <v>0</v>
      </c>
      <c r="AA165" s="530">
        <f t="shared" si="307"/>
        <v>0</v>
      </c>
      <c r="AB165" s="530">
        <f t="shared" si="307"/>
        <v>45620</v>
      </c>
      <c r="AC165" s="595"/>
      <c r="AD165" s="595"/>
    </row>
    <row r="166" spans="1:30" s="48" customFormat="1" ht="15">
      <c r="A166" s="511"/>
      <c r="B166" s="641"/>
      <c r="D166" s="314"/>
      <c r="E166" s="456"/>
      <c r="F166" s="51"/>
      <c r="G166" s="512"/>
      <c r="H166" s="51"/>
      <c r="I166" s="51"/>
      <c r="J166" s="51"/>
      <c r="K166" s="51"/>
      <c r="L166" s="51"/>
      <c r="M166" s="51"/>
      <c r="N166" s="349"/>
      <c r="O166" s="350"/>
      <c r="P166" s="351"/>
      <c r="Q166" s="352"/>
      <c r="R166" s="352"/>
      <c r="S166" s="348"/>
      <c r="AC166" s="597"/>
      <c r="AD166" s="597"/>
    </row>
    <row r="167" spans="1:30" s="25" customFormat="1" ht="15">
      <c r="A167" s="331"/>
      <c r="B167" s="453"/>
      <c r="C167" s="534" t="s">
        <v>766</v>
      </c>
      <c r="D167" s="496"/>
      <c r="E167" s="363"/>
      <c r="F167" s="364"/>
      <c r="G167" s="505"/>
      <c r="H167" s="364"/>
      <c r="I167" s="364"/>
      <c r="J167" s="364"/>
      <c r="K167" s="364"/>
      <c r="L167" s="364"/>
      <c r="M167" s="365"/>
      <c r="N167" s="522"/>
      <c r="O167" s="513"/>
      <c r="P167" s="535"/>
      <c r="Q167" s="514"/>
      <c r="R167" s="514"/>
      <c r="S167" s="515"/>
      <c r="T167" s="455"/>
      <c r="U167" s="455"/>
      <c r="V167" s="455"/>
      <c r="W167" s="455"/>
      <c r="X167" s="455"/>
      <c r="Y167" s="455"/>
      <c r="Z167" s="455"/>
      <c r="AA167" s="455"/>
      <c r="AB167" s="516"/>
      <c r="AC167" s="595"/>
      <c r="AD167" s="595"/>
    </row>
    <row r="168" spans="1:30" s="25" customFormat="1">
      <c r="A168" s="331"/>
      <c r="B168" s="453"/>
      <c r="C168" s="541" t="str">
        <f t="shared" ref="C168:C181" si="308">C337</f>
        <v>Web and database servers</v>
      </c>
      <c r="D168" s="353"/>
      <c r="E168" s="357">
        <f t="shared" ref="E168" si="309">SUM(H168:M168)</f>
        <v>3000</v>
      </c>
      <c r="F168" s="456">
        <f t="shared" ref="F168:G168" si="310">F337</f>
        <v>1</v>
      </c>
      <c r="G168" s="507">
        <f t="shared" si="310"/>
        <v>3000</v>
      </c>
      <c r="H168" s="456">
        <f t="shared" ref="H168:M181" si="311">$G168*H337</f>
        <v>0</v>
      </c>
      <c r="I168" s="456">
        <f t="shared" si="311"/>
        <v>0</v>
      </c>
      <c r="J168" s="456">
        <f t="shared" si="311"/>
        <v>0</v>
      </c>
      <c r="K168" s="456">
        <f t="shared" si="311"/>
        <v>0</v>
      </c>
      <c r="L168" s="456">
        <f t="shared" si="311"/>
        <v>0</v>
      </c>
      <c r="M168" s="576">
        <f t="shared" si="311"/>
        <v>3000</v>
      </c>
      <c r="N168" s="357">
        <f t="shared" ref="N168" si="312">SUM(Q168:AB168)</f>
        <v>3000</v>
      </c>
      <c r="O168" s="456">
        <f t="shared" ref="O168:O181" si="313">O337</f>
        <v>1</v>
      </c>
      <c r="P168" s="537">
        <f t="shared" ref="P168" si="314">G168</f>
        <v>3000</v>
      </c>
      <c r="Q168" s="456">
        <f t="shared" ref="Q168:AB168" si="315">$P168*Q337</f>
        <v>0</v>
      </c>
      <c r="R168" s="456">
        <f t="shared" si="315"/>
        <v>0</v>
      </c>
      <c r="S168" s="456">
        <f t="shared" si="315"/>
        <v>3000</v>
      </c>
      <c r="T168" s="456">
        <f t="shared" si="315"/>
        <v>0</v>
      </c>
      <c r="U168" s="456">
        <f t="shared" si="315"/>
        <v>0</v>
      </c>
      <c r="V168" s="456">
        <f t="shared" si="315"/>
        <v>0</v>
      </c>
      <c r="W168" s="456">
        <f t="shared" si="315"/>
        <v>0</v>
      </c>
      <c r="X168" s="456">
        <f t="shared" si="315"/>
        <v>0</v>
      </c>
      <c r="Y168" s="456">
        <f t="shared" si="315"/>
        <v>0</v>
      </c>
      <c r="Z168" s="456">
        <f t="shared" si="315"/>
        <v>0</v>
      </c>
      <c r="AA168" s="456">
        <f t="shared" si="315"/>
        <v>0</v>
      </c>
      <c r="AB168" s="576">
        <f t="shared" si="315"/>
        <v>0</v>
      </c>
      <c r="AC168" s="595"/>
      <c r="AD168" s="595" t="str">
        <f t="shared" ref="AD168:AD181" si="316">IF(SUM(F168,O168)-AC168&gt;=0,"True","False")</f>
        <v>True</v>
      </c>
    </row>
    <row r="169" spans="1:30" s="25" customFormat="1">
      <c r="A169" s="331"/>
      <c r="B169" s="453"/>
      <c r="C169" s="541" t="str">
        <f t="shared" si="308"/>
        <v xml:space="preserve">Routers </v>
      </c>
      <c r="D169" s="353"/>
      <c r="E169" s="357">
        <f t="shared" ref="E169:E181" si="317">SUM(H169:M169)</f>
        <v>1</v>
      </c>
      <c r="F169" s="456">
        <f t="shared" ref="F169:G169" si="318">F338</f>
        <v>1</v>
      </c>
      <c r="G169" s="507">
        <f t="shared" si="318"/>
        <v>1</v>
      </c>
      <c r="H169" s="456">
        <f t="shared" si="311"/>
        <v>0</v>
      </c>
      <c r="I169" s="456">
        <f t="shared" si="311"/>
        <v>0</v>
      </c>
      <c r="J169" s="456">
        <f t="shared" si="311"/>
        <v>0</v>
      </c>
      <c r="K169" s="456">
        <f t="shared" si="311"/>
        <v>0</v>
      </c>
      <c r="L169" s="456">
        <f t="shared" si="311"/>
        <v>0</v>
      </c>
      <c r="M169" s="576">
        <f t="shared" si="311"/>
        <v>1</v>
      </c>
      <c r="N169" s="357">
        <f t="shared" ref="N169:N181" si="319">SUM(Q169:AB169)</f>
        <v>1</v>
      </c>
      <c r="O169" s="456">
        <f t="shared" si="313"/>
        <v>1</v>
      </c>
      <c r="P169" s="537">
        <f t="shared" ref="P169:P181" si="320">G169</f>
        <v>1</v>
      </c>
      <c r="Q169" s="456">
        <f t="shared" ref="Q169:AB169" si="321">$P169*Q338</f>
        <v>0</v>
      </c>
      <c r="R169" s="456">
        <f t="shared" si="321"/>
        <v>0</v>
      </c>
      <c r="S169" s="456">
        <f t="shared" si="321"/>
        <v>1</v>
      </c>
      <c r="T169" s="456">
        <f t="shared" si="321"/>
        <v>0</v>
      </c>
      <c r="U169" s="456">
        <f t="shared" si="321"/>
        <v>0</v>
      </c>
      <c r="V169" s="456">
        <f t="shared" si="321"/>
        <v>0</v>
      </c>
      <c r="W169" s="456">
        <f t="shared" si="321"/>
        <v>0</v>
      </c>
      <c r="X169" s="456">
        <f t="shared" si="321"/>
        <v>0</v>
      </c>
      <c r="Y169" s="456">
        <f t="shared" si="321"/>
        <v>0</v>
      </c>
      <c r="Z169" s="456">
        <f t="shared" si="321"/>
        <v>0</v>
      </c>
      <c r="AA169" s="456">
        <f t="shared" si="321"/>
        <v>0</v>
      </c>
      <c r="AB169" s="576">
        <f t="shared" si="321"/>
        <v>0</v>
      </c>
      <c r="AC169" s="595"/>
      <c r="AD169" s="595" t="str">
        <f t="shared" si="316"/>
        <v>True</v>
      </c>
    </row>
    <row r="170" spans="1:30" s="25" customFormat="1">
      <c r="A170" s="331"/>
      <c r="B170" s="453"/>
      <c r="C170" s="541" t="str">
        <f t="shared" si="308"/>
        <v>Switches for LAN</v>
      </c>
      <c r="D170" s="353"/>
      <c r="E170" s="357">
        <f t="shared" si="317"/>
        <v>0</v>
      </c>
      <c r="F170" s="456">
        <f t="shared" ref="F170:G170" si="322">F339</f>
        <v>0</v>
      </c>
      <c r="G170" s="507">
        <f t="shared" si="322"/>
        <v>150</v>
      </c>
      <c r="H170" s="456">
        <f t="shared" si="311"/>
        <v>0</v>
      </c>
      <c r="I170" s="456">
        <f t="shared" si="311"/>
        <v>0</v>
      </c>
      <c r="J170" s="456">
        <f t="shared" si="311"/>
        <v>0</v>
      </c>
      <c r="K170" s="456">
        <f t="shared" si="311"/>
        <v>0</v>
      </c>
      <c r="L170" s="456">
        <f t="shared" si="311"/>
        <v>0</v>
      </c>
      <c r="M170" s="576">
        <f t="shared" si="311"/>
        <v>0</v>
      </c>
      <c r="N170" s="357">
        <f t="shared" si="319"/>
        <v>150</v>
      </c>
      <c r="O170" s="456">
        <f t="shared" si="313"/>
        <v>1</v>
      </c>
      <c r="P170" s="537">
        <f t="shared" si="320"/>
        <v>150</v>
      </c>
      <c r="Q170" s="456">
        <f t="shared" ref="Q170:AB170" si="323">$P170*Q339</f>
        <v>0</v>
      </c>
      <c r="R170" s="456">
        <f t="shared" si="323"/>
        <v>0</v>
      </c>
      <c r="S170" s="456">
        <f t="shared" si="323"/>
        <v>150</v>
      </c>
      <c r="T170" s="456">
        <f t="shared" si="323"/>
        <v>0</v>
      </c>
      <c r="U170" s="456">
        <f t="shared" si="323"/>
        <v>0</v>
      </c>
      <c r="V170" s="456">
        <f t="shared" si="323"/>
        <v>0</v>
      </c>
      <c r="W170" s="456">
        <f t="shared" si="323"/>
        <v>0</v>
      </c>
      <c r="X170" s="456">
        <f t="shared" si="323"/>
        <v>0</v>
      </c>
      <c r="Y170" s="456">
        <f t="shared" si="323"/>
        <v>0</v>
      </c>
      <c r="Z170" s="456">
        <f t="shared" si="323"/>
        <v>0</v>
      </c>
      <c r="AA170" s="456">
        <f t="shared" si="323"/>
        <v>0</v>
      </c>
      <c r="AB170" s="576">
        <f t="shared" si="323"/>
        <v>0</v>
      </c>
      <c r="AC170" s="595"/>
      <c r="AD170" s="595" t="str">
        <f t="shared" si="316"/>
        <v>True</v>
      </c>
    </row>
    <row r="171" spans="1:30" s="25" customFormat="1">
      <c r="A171" s="331"/>
      <c r="B171" s="453"/>
      <c r="C171" s="541" t="str">
        <f t="shared" si="308"/>
        <v>Desktops</v>
      </c>
      <c r="D171" s="353"/>
      <c r="E171" s="357">
        <f t="shared" si="317"/>
        <v>8000</v>
      </c>
      <c r="F171" s="456">
        <f t="shared" ref="F171:G171" si="324">F340</f>
        <v>16</v>
      </c>
      <c r="G171" s="507">
        <f t="shared" si="324"/>
        <v>500</v>
      </c>
      <c r="H171" s="456">
        <f t="shared" si="311"/>
        <v>0</v>
      </c>
      <c r="I171" s="456">
        <f t="shared" si="311"/>
        <v>0</v>
      </c>
      <c r="J171" s="456">
        <f t="shared" si="311"/>
        <v>0</v>
      </c>
      <c r="K171" s="456">
        <f t="shared" si="311"/>
        <v>0</v>
      </c>
      <c r="L171" s="456">
        <f t="shared" si="311"/>
        <v>0</v>
      </c>
      <c r="M171" s="576">
        <f t="shared" si="311"/>
        <v>8000</v>
      </c>
      <c r="N171" s="357">
        <f t="shared" si="319"/>
        <v>5000</v>
      </c>
      <c r="O171" s="456">
        <f t="shared" si="313"/>
        <v>10</v>
      </c>
      <c r="P171" s="537">
        <f t="shared" si="320"/>
        <v>500</v>
      </c>
      <c r="Q171" s="456">
        <f t="shared" ref="Q171:AB171" si="325">$P171*Q340</f>
        <v>5000</v>
      </c>
      <c r="R171" s="456">
        <f t="shared" si="325"/>
        <v>0</v>
      </c>
      <c r="S171" s="456">
        <f t="shared" si="325"/>
        <v>0</v>
      </c>
      <c r="T171" s="456">
        <f t="shared" si="325"/>
        <v>0</v>
      </c>
      <c r="U171" s="456">
        <f t="shared" si="325"/>
        <v>0</v>
      </c>
      <c r="V171" s="456">
        <f t="shared" si="325"/>
        <v>0</v>
      </c>
      <c r="W171" s="456">
        <f t="shared" si="325"/>
        <v>0</v>
      </c>
      <c r="X171" s="456">
        <f t="shared" si="325"/>
        <v>0</v>
      </c>
      <c r="Y171" s="456">
        <f t="shared" si="325"/>
        <v>0</v>
      </c>
      <c r="Z171" s="456">
        <f t="shared" si="325"/>
        <v>0</v>
      </c>
      <c r="AA171" s="456">
        <f t="shared" si="325"/>
        <v>0</v>
      </c>
      <c r="AB171" s="576">
        <f t="shared" si="325"/>
        <v>0</v>
      </c>
      <c r="AC171" s="595">
        <f>SUMIF('List of equipment'!$O:$O,'List of equipment'!#REF!,'List of equipment'!$Q:$Q)</f>
        <v>0</v>
      </c>
      <c r="AD171" s="595" t="str">
        <f t="shared" si="316"/>
        <v>True</v>
      </c>
    </row>
    <row r="172" spans="1:30" s="25" customFormat="1">
      <c r="A172" s="331"/>
      <c r="B172" s="453"/>
      <c r="C172" s="541" t="str">
        <f t="shared" si="308"/>
        <v>Black and White printer</v>
      </c>
      <c r="D172" s="353"/>
      <c r="E172" s="357">
        <f t="shared" si="317"/>
        <v>1600</v>
      </c>
      <c r="F172" s="456">
        <f t="shared" ref="F172:G172" si="326">F341</f>
        <v>8</v>
      </c>
      <c r="G172" s="507">
        <f t="shared" si="326"/>
        <v>200</v>
      </c>
      <c r="H172" s="456">
        <f t="shared" si="311"/>
        <v>0</v>
      </c>
      <c r="I172" s="456">
        <f t="shared" si="311"/>
        <v>0</v>
      </c>
      <c r="J172" s="456">
        <f t="shared" si="311"/>
        <v>0</v>
      </c>
      <c r="K172" s="456">
        <f t="shared" si="311"/>
        <v>0</v>
      </c>
      <c r="L172" s="456">
        <f t="shared" si="311"/>
        <v>0</v>
      </c>
      <c r="M172" s="576">
        <f t="shared" si="311"/>
        <v>1600</v>
      </c>
      <c r="N172" s="357">
        <f t="shared" si="319"/>
        <v>200</v>
      </c>
      <c r="O172" s="456">
        <f t="shared" si="313"/>
        <v>1</v>
      </c>
      <c r="P172" s="537">
        <f t="shared" si="320"/>
        <v>200</v>
      </c>
      <c r="Q172" s="456">
        <f t="shared" ref="Q172:AB172" si="327">$P172*Q341</f>
        <v>0</v>
      </c>
      <c r="R172" s="456">
        <f t="shared" si="327"/>
        <v>0</v>
      </c>
      <c r="S172" s="456">
        <f t="shared" si="327"/>
        <v>200</v>
      </c>
      <c r="T172" s="456">
        <f t="shared" si="327"/>
        <v>0</v>
      </c>
      <c r="U172" s="456">
        <f t="shared" si="327"/>
        <v>0</v>
      </c>
      <c r="V172" s="456">
        <f t="shared" si="327"/>
        <v>0</v>
      </c>
      <c r="W172" s="456">
        <f t="shared" si="327"/>
        <v>0</v>
      </c>
      <c r="X172" s="456">
        <f t="shared" si="327"/>
        <v>0</v>
      </c>
      <c r="Y172" s="456">
        <f t="shared" si="327"/>
        <v>0</v>
      </c>
      <c r="Z172" s="456">
        <f t="shared" si="327"/>
        <v>0</v>
      </c>
      <c r="AA172" s="456">
        <f t="shared" si="327"/>
        <v>0</v>
      </c>
      <c r="AB172" s="576">
        <f t="shared" si="327"/>
        <v>0</v>
      </c>
      <c r="AC172" s="595"/>
      <c r="AD172" s="595" t="str">
        <f t="shared" si="316"/>
        <v>True</v>
      </c>
    </row>
    <row r="173" spans="1:30" s="25" customFormat="1">
      <c r="A173" s="331"/>
      <c r="B173" s="453"/>
      <c r="C173" s="541" t="str">
        <f t="shared" si="308"/>
        <v>Scanner (Epson Scanner 3490P)</v>
      </c>
      <c r="D173" s="353"/>
      <c r="E173" s="357">
        <f t="shared" si="317"/>
        <v>0</v>
      </c>
      <c r="F173" s="456">
        <f t="shared" ref="F173:G173" si="328">F342</f>
        <v>0</v>
      </c>
      <c r="G173" s="507">
        <f t="shared" si="328"/>
        <v>250</v>
      </c>
      <c r="H173" s="456">
        <f t="shared" si="311"/>
        <v>0</v>
      </c>
      <c r="I173" s="456">
        <f t="shared" si="311"/>
        <v>0</v>
      </c>
      <c r="J173" s="456">
        <f t="shared" si="311"/>
        <v>0</v>
      </c>
      <c r="K173" s="456">
        <f t="shared" si="311"/>
        <v>0</v>
      </c>
      <c r="L173" s="456">
        <f t="shared" si="311"/>
        <v>0</v>
      </c>
      <c r="M173" s="576">
        <f t="shared" si="311"/>
        <v>0</v>
      </c>
      <c r="N173" s="357">
        <f t="shared" si="319"/>
        <v>250</v>
      </c>
      <c r="O173" s="456">
        <f t="shared" si="313"/>
        <v>1</v>
      </c>
      <c r="P173" s="537">
        <f t="shared" si="320"/>
        <v>250</v>
      </c>
      <c r="Q173" s="456">
        <f t="shared" ref="Q173:AB173" si="329">$P173*Q342</f>
        <v>0</v>
      </c>
      <c r="R173" s="456">
        <f t="shared" si="329"/>
        <v>0</v>
      </c>
      <c r="S173" s="456">
        <f t="shared" si="329"/>
        <v>250</v>
      </c>
      <c r="T173" s="456">
        <f t="shared" si="329"/>
        <v>0</v>
      </c>
      <c r="U173" s="456">
        <f t="shared" si="329"/>
        <v>0</v>
      </c>
      <c r="V173" s="456">
        <f t="shared" si="329"/>
        <v>0</v>
      </c>
      <c r="W173" s="456">
        <f t="shared" si="329"/>
        <v>0</v>
      </c>
      <c r="X173" s="456">
        <f t="shared" si="329"/>
        <v>0</v>
      </c>
      <c r="Y173" s="456">
        <f t="shared" si="329"/>
        <v>0</v>
      </c>
      <c r="Z173" s="456">
        <f t="shared" si="329"/>
        <v>0</v>
      </c>
      <c r="AA173" s="456">
        <f t="shared" si="329"/>
        <v>0</v>
      </c>
      <c r="AB173" s="576">
        <f t="shared" si="329"/>
        <v>0</v>
      </c>
      <c r="AC173" s="595"/>
      <c r="AD173" s="595" t="str">
        <f t="shared" si="316"/>
        <v>True</v>
      </c>
    </row>
    <row r="174" spans="1:30" s="25" customFormat="1">
      <c r="A174" s="331"/>
      <c r="B174" s="453"/>
      <c r="C174" s="541" t="str">
        <f t="shared" si="308"/>
        <v>Projector</v>
      </c>
      <c r="D174" s="353"/>
      <c r="E174" s="357">
        <f t="shared" si="317"/>
        <v>0</v>
      </c>
      <c r="F174" s="456">
        <f t="shared" ref="F174:G174" si="330">F343</f>
        <v>0</v>
      </c>
      <c r="G174" s="507">
        <f t="shared" si="330"/>
        <v>950</v>
      </c>
      <c r="H174" s="456">
        <f t="shared" si="311"/>
        <v>0</v>
      </c>
      <c r="I174" s="456">
        <f t="shared" si="311"/>
        <v>0</v>
      </c>
      <c r="J174" s="456">
        <f t="shared" si="311"/>
        <v>0</v>
      </c>
      <c r="K174" s="456">
        <f t="shared" si="311"/>
        <v>0</v>
      </c>
      <c r="L174" s="456">
        <f t="shared" si="311"/>
        <v>0</v>
      </c>
      <c r="M174" s="576">
        <f t="shared" si="311"/>
        <v>0</v>
      </c>
      <c r="N174" s="357">
        <f t="shared" si="319"/>
        <v>950</v>
      </c>
      <c r="O174" s="456">
        <f t="shared" si="313"/>
        <v>1</v>
      </c>
      <c r="P174" s="537">
        <f t="shared" si="320"/>
        <v>950</v>
      </c>
      <c r="Q174" s="456">
        <f t="shared" ref="Q174:AB174" si="331">$P174*Q343</f>
        <v>0</v>
      </c>
      <c r="R174" s="456">
        <f t="shared" si="331"/>
        <v>0</v>
      </c>
      <c r="S174" s="456">
        <f t="shared" si="331"/>
        <v>950</v>
      </c>
      <c r="T174" s="456">
        <f t="shared" si="331"/>
        <v>0</v>
      </c>
      <c r="U174" s="456">
        <f t="shared" si="331"/>
        <v>0</v>
      </c>
      <c r="V174" s="456">
        <f t="shared" si="331"/>
        <v>0</v>
      </c>
      <c r="W174" s="456">
        <f t="shared" si="331"/>
        <v>0</v>
      </c>
      <c r="X174" s="456">
        <f t="shared" si="331"/>
        <v>0</v>
      </c>
      <c r="Y174" s="456">
        <f t="shared" si="331"/>
        <v>0</v>
      </c>
      <c r="Z174" s="456">
        <f t="shared" si="331"/>
        <v>0</v>
      </c>
      <c r="AA174" s="456">
        <f t="shared" si="331"/>
        <v>0</v>
      </c>
      <c r="AB174" s="576">
        <f t="shared" si="331"/>
        <v>0</v>
      </c>
      <c r="AC174" s="595"/>
      <c r="AD174" s="595" t="str">
        <f t="shared" si="316"/>
        <v>True</v>
      </c>
    </row>
    <row r="175" spans="1:30" s="25" customFormat="1">
      <c r="A175" s="331"/>
      <c r="B175" s="453"/>
      <c r="C175" s="541" t="str">
        <f t="shared" si="308"/>
        <v>Camera</v>
      </c>
      <c r="D175" s="353"/>
      <c r="E175" s="357">
        <f t="shared" si="317"/>
        <v>5000</v>
      </c>
      <c r="F175" s="456">
        <f t="shared" ref="F175:G175" si="332">F344</f>
        <v>25</v>
      </c>
      <c r="G175" s="507">
        <f t="shared" si="332"/>
        <v>200</v>
      </c>
      <c r="H175" s="456">
        <f t="shared" si="311"/>
        <v>0</v>
      </c>
      <c r="I175" s="456">
        <f t="shared" si="311"/>
        <v>0</v>
      </c>
      <c r="J175" s="456">
        <f t="shared" si="311"/>
        <v>0</v>
      </c>
      <c r="K175" s="456">
        <f t="shared" si="311"/>
        <v>0</v>
      </c>
      <c r="L175" s="456">
        <f t="shared" si="311"/>
        <v>5000</v>
      </c>
      <c r="M175" s="576">
        <f t="shared" si="311"/>
        <v>0</v>
      </c>
      <c r="N175" s="357">
        <f t="shared" si="319"/>
        <v>200</v>
      </c>
      <c r="O175" s="456">
        <f t="shared" si="313"/>
        <v>1</v>
      </c>
      <c r="P175" s="537">
        <f t="shared" si="320"/>
        <v>200</v>
      </c>
      <c r="Q175" s="456">
        <f t="shared" ref="Q175:AB175" si="333">$P175*Q344</f>
        <v>0</v>
      </c>
      <c r="R175" s="456">
        <f t="shared" si="333"/>
        <v>0</v>
      </c>
      <c r="S175" s="456">
        <f t="shared" si="333"/>
        <v>200</v>
      </c>
      <c r="T175" s="456">
        <f t="shared" si="333"/>
        <v>0</v>
      </c>
      <c r="U175" s="456">
        <f t="shared" si="333"/>
        <v>0</v>
      </c>
      <c r="V175" s="456">
        <f t="shared" si="333"/>
        <v>0</v>
      </c>
      <c r="W175" s="456">
        <f t="shared" si="333"/>
        <v>0</v>
      </c>
      <c r="X175" s="456">
        <f t="shared" si="333"/>
        <v>0</v>
      </c>
      <c r="Y175" s="456">
        <f t="shared" si="333"/>
        <v>0</v>
      </c>
      <c r="Z175" s="456">
        <f t="shared" si="333"/>
        <v>0</v>
      </c>
      <c r="AA175" s="456">
        <f t="shared" si="333"/>
        <v>0</v>
      </c>
      <c r="AB175" s="576">
        <f t="shared" si="333"/>
        <v>0</v>
      </c>
      <c r="AC175" s="595">
        <f>'App 10_5Yr Op Exp'!$E$20*'App 6_Yr 1 Capex'!$E$29/'App 6_Yr 1 Capex'!$E$30</f>
        <v>22.5</v>
      </c>
      <c r="AD175" s="595" t="str">
        <f t="shared" si="316"/>
        <v>True</v>
      </c>
    </row>
    <row r="176" spans="1:30" s="25" customFormat="1">
      <c r="A176" s="331"/>
      <c r="B176" s="453"/>
      <c r="C176" s="541" t="str">
        <f t="shared" si="308"/>
        <v>LCD Screen (for guiding clients)</v>
      </c>
      <c r="D176" s="353"/>
      <c r="E176" s="357">
        <f t="shared" si="317"/>
        <v>12000</v>
      </c>
      <c r="F176" s="456">
        <f t="shared" ref="F176:G176" si="334">F345</f>
        <v>12</v>
      </c>
      <c r="G176" s="507">
        <f t="shared" si="334"/>
        <v>1000</v>
      </c>
      <c r="H176" s="456">
        <f t="shared" si="311"/>
        <v>0</v>
      </c>
      <c r="I176" s="456">
        <f t="shared" si="311"/>
        <v>0</v>
      </c>
      <c r="J176" s="456">
        <f t="shared" si="311"/>
        <v>12000</v>
      </c>
      <c r="K176" s="456">
        <f t="shared" si="311"/>
        <v>0</v>
      </c>
      <c r="L176" s="456">
        <f t="shared" si="311"/>
        <v>0</v>
      </c>
      <c r="M176" s="576">
        <f t="shared" si="311"/>
        <v>0</v>
      </c>
      <c r="N176" s="357">
        <f t="shared" si="319"/>
        <v>1000</v>
      </c>
      <c r="O176" s="456">
        <f t="shared" si="313"/>
        <v>1</v>
      </c>
      <c r="P176" s="537">
        <f t="shared" si="320"/>
        <v>1000</v>
      </c>
      <c r="Q176" s="456">
        <f t="shared" ref="Q176:AB176" si="335">$P176*Q345</f>
        <v>0</v>
      </c>
      <c r="R176" s="456">
        <f t="shared" si="335"/>
        <v>0</v>
      </c>
      <c r="S176" s="456">
        <f t="shared" si="335"/>
        <v>1000</v>
      </c>
      <c r="T176" s="456">
        <f t="shared" si="335"/>
        <v>0</v>
      </c>
      <c r="U176" s="456">
        <f t="shared" si="335"/>
        <v>0</v>
      </c>
      <c r="V176" s="456">
        <f t="shared" si="335"/>
        <v>0</v>
      </c>
      <c r="W176" s="456">
        <f t="shared" si="335"/>
        <v>0</v>
      </c>
      <c r="X176" s="456">
        <f t="shared" si="335"/>
        <v>0</v>
      </c>
      <c r="Y176" s="456">
        <f t="shared" si="335"/>
        <v>0</v>
      </c>
      <c r="Z176" s="456">
        <f t="shared" si="335"/>
        <v>0</v>
      </c>
      <c r="AA176" s="456">
        <f t="shared" si="335"/>
        <v>0</v>
      </c>
      <c r="AB176" s="576">
        <f t="shared" si="335"/>
        <v>0</v>
      </c>
      <c r="AC176" s="595">
        <f>'App 10_5Yr Op Exp'!$E$20*'App 6_Yr 1 Capex'!$E$26/'App 6_Yr 1 Capex'!$E$27</f>
        <v>12</v>
      </c>
      <c r="AD176" s="595" t="str">
        <f t="shared" si="316"/>
        <v>True</v>
      </c>
    </row>
    <row r="177" spans="1:30" s="25" customFormat="1">
      <c r="A177" s="331"/>
      <c r="B177" s="453"/>
      <c r="C177" s="541" t="str">
        <f t="shared" si="308"/>
        <v>Sound system</v>
      </c>
      <c r="D177" s="353"/>
      <c r="E177" s="357">
        <f t="shared" si="317"/>
        <v>1000</v>
      </c>
      <c r="F177" s="456">
        <f t="shared" ref="F177:G177" si="336">F346</f>
        <v>1</v>
      </c>
      <c r="G177" s="507">
        <f t="shared" si="336"/>
        <v>1000</v>
      </c>
      <c r="H177" s="456">
        <f t="shared" si="311"/>
        <v>0</v>
      </c>
      <c r="I177" s="456">
        <f t="shared" si="311"/>
        <v>0</v>
      </c>
      <c r="J177" s="456">
        <f t="shared" si="311"/>
        <v>0</v>
      </c>
      <c r="K177" s="456">
        <f t="shared" si="311"/>
        <v>0</v>
      </c>
      <c r="L177" s="456">
        <f t="shared" si="311"/>
        <v>0</v>
      </c>
      <c r="M177" s="576">
        <f t="shared" si="311"/>
        <v>1000</v>
      </c>
      <c r="N177" s="357">
        <f t="shared" si="319"/>
        <v>1000</v>
      </c>
      <c r="O177" s="456">
        <f t="shared" si="313"/>
        <v>1</v>
      </c>
      <c r="P177" s="537">
        <f t="shared" si="320"/>
        <v>1000</v>
      </c>
      <c r="Q177" s="456">
        <f t="shared" ref="Q177:AB177" si="337">$P177*Q346</f>
        <v>0</v>
      </c>
      <c r="R177" s="456">
        <f t="shared" si="337"/>
        <v>0</v>
      </c>
      <c r="S177" s="456">
        <f t="shared" si="337"/>
        <v>1000</v>
      </c>
      <c r="T177" s="456">
        <f t="shared" si="337"/>
        <v>0</v>
      </c>
      <c r="U177" s="456">
        <f t="shared" si="337"/>
        <v>0</v>
      </c>
      <c r="V177" s="456">
        <f t="shared" si="337"/>
        <v>0</v>
      </c>
      <c r="W177" s="456">
        <f t="shared" si="337"/>
        <v>0</v>
      </c>
      <c r="X177" s="456">
        <f t="shared" si="337"/>
        <v>0</v>
      </c>
      <c r="Y177" s="456">
        <f t="shared" si="337"/>
        <v>0</v>
      </c>
      <c r="Z177" s="456">
        <f t="shared" si="337"/>
        <v>0</v>
      </c>
      <c r="AA177" s="456">
        <f t="shared" si="337"/>
        <v>0</v>
      </c>
      <c r="AB177" s="576">
        <f t="shared" si="337"/>
        <v>0</v>
      </c>
      <c r="AC177" s="595"/>
      <c r="AD177" s="595" t="str">
        <f t="shared" si="316"/>
        <v>True</v>
      </c>
    </row>
    <row r="178" spans="1:30" s="25" customFormat="1">
      <c r="A178" s="331"/>
      <c r="B178" s="453"/>
      <c r="C178" s="541" t="str">
        <f t="shared" si="308"/>
        <v xml:space="preserve">Telephone Switchboard </v>
      </c>
      <c r="D178" s="353"/>
      <c r="E178" s="357">
        <f t="shared" si="317"/>
        <v>360</v>
      </c>
      <c r="F178" s="456">
        <f t="shared" ref="F178:G178" si="338">F347</f>
        <v>1</v>
      </c>
      <c r="G178" s="507">
        <f t="shared" si="338"/>
        <v>360</v>
      </c>
      <c r="H178" s="456">
        <f t="shared" si="311"/>
        <v>0</v>
      </c>
      <c r="I178" s="456">
        <f t="shared" si="311"/>
        <v>0</v>
      </c>
      <c r="J178" s="456">
        <f t="shared" si="311"/>
        <v>0</v>
      </c>
      <c r="K178" s="456">
        <f t="shared" si="311"/>
        <v>0</v>
      </c>
      <c r="L178" s="456">
        <f t="shared" si="311"/>
        <v>0</v>
      </c>
      <c r="M178" s="576">
        <f t="shared" si="311"/>
        <v>360</v>
      </c>
      <c r="N178" s="357">
        <f t="shared" si="319"/>
        <v>360</v>
      </c>
      <c r="O178" s="456">
        <f t="shared" si="313"/>
        <v>1</v>
      </c>
      <c r="P178" s="537">
        <f t="shared" si="320"/>
        <v>360</v>
      </c>
      <c r="Q178" s="456">
        <f t="shared" ref="Q178:AB178" si="339">$P178*Q347</f>
        <v>0</v>
      </c>
      <c r="R178" s="456">
        <f t="shared" si="339"/>
        <v>0</v>
      </c>
      <c r="S178" s="456">
        <f t="shared" si="339"/>
        <v>360</v>
      </c>
      <c r="T178" s="456">
        <f t="shared" si="339"/>
        <v>0</v>
      </c>
      <c r="U178" s="456">
        <f t="shared" si="339"/>
        <v>0</v>
      </c>
      <c r="V178" s="456">
        <f t="shared" si="339"/>
        <v>0</v>
      </c>
      <c r="W178" s="456">
        <f t="shared" si="339"/>
        <v>0</v>
      </c>
      <c r="X178" s="456">
        <f t="shared" si="339"/>
        <v>0</v>
      </c>
      <c r="Y178" s="456">
        <f t="shared" si="339"/>
        <v>0</v>
      </c>
      <c r="Z178" s="456">
        <f t="shared" si="339"/>
        <v>0</v>
      </c>
      <c r="AA178" s="456">
        <f t="shared" si="339"/>
        <v>0</v>
      </c>
      <c r="AB178" s="576">
        <f t="shared" si="339"/>
        <v>0</v>
      </c>
      <c r="AC178" s="595"/>
      <c r="AD178" s="595" t="str">
        <f t="shared" si="316"/>
        <v>True</v>
      </c>
    </row>
    <row r="179" spans="1:30" s="25" customFormat="1">
      <c r="A179" s="331"/>
      <c r="B179" s="453"/>
      <c r="C179" s="541" t="str">
        <f t="shared" si="308"/>
        <v xml:space="preserve">Telephone Handset </v>
      </c>
      <c r="D179" s="353"/>
      <c r="E179" s="357">
        <f t="shared" si="317"/>
        <v>0</v>
      </c>
      <c r="F179" s="456">
        <f t="shared" ref="F179:G179" si="340">F348</f>
        <v>0</v>
      </c>
      <c r="G179" s="507">
        <f t="shared" si="340"/>
        <v>15</v>
      </c>
      <c r="H179" s="456">
        <f t="shared" si="311"/>
        <v>0</v>
      </c>
      <c r="I179" s="456">
        <f t="shared" si="311"/>
        <v>0</v>
      </c>
      <c r="J179" s="456">
        <f t="shared" si="311"/>
        <v>0</v>
      </c>
      <c r="K179" s="456">
        <f t="shared" si="311"/>
        <v>0</v>
      </c>
      <c r="L179" s="456">
        <f t="shared" si="311"/>
        <v>0</v>
      </c>
      <c r="M179" s="576">
        <f t="shared" si="311"/>
        <v>0</v>
      </c>
      <c r="N179" s="357">
        <f t="shared" si="319"/>
        <v>15</v>
      </c>
      <c r="O179" s="456">
        <f t="shared" si="313"/>
        <v>1</v>
      </c>
      <c r="P179" s="537">
        <f t="shared" si="320"/>
        <v>15</v>
      </c>
      <c r="Q179" s="456">
        <f t="shared" ref="Q179:AB179" si="341">$P179*Q348</f>
        <v>0</v>
      </c>
      <c r="R179" s="456">
        <f t="shared" si="341"/>
        <v>0</v>
      </c>
      <c r="S179" s="456">
        <f t="shared" si="341"/>
        <v>15</v>
      </c>
      <c r="T179" s="456">
        <f t="shared" si="341"/>
        <v>0</v>
      </c>
      <c r="U179" s="456">
        <f t="shared" si="341"/>
        <v>0</v>
      </c>
      <c r="V179" s="456">
        <f t="shared" si="341"/>
        <v>0</v>
      </c>
      <c r="W179" s="456">
        <f t="shared" si="341"/>
        <v>0</v>
      </c>
      <c r="X179" s="456">
        <f t="shared" si="341"/>
        <v>0</v>
      </c>
      <c r="Y179" s="456">
        <f t="shared" si="341"/>
        <v>0</v>
      </c>
      <c r="Z179" s="456">
        <f t="shared" si="341"/>
        <v>0</v>
      </c>
      <c r="AA179" s="456">
        <f t="shared" si="341"/>
        <v>0</v>
      </c>
      <c r="AB179" s="576">
        <f t="shared" si="341"/>
        <v>0</v>
      </c>
      <c r="AC179" s="595"/>
      <c r="AD179" s="595" t="str">
        <f t="shared" si="316"/>
        <v>True</v>
      </c>
    </row>
    <row r="180" spans="1:30" s="25" customFormat="1">
      <c r="A180" s="331"/>
      <c r="B180" s="453"/>
      <c r="C180" s="541" t="str">
        <f t="shared" si="308"/>
        <v>Monitor system</v>
      </c>
      <c r="D180" s="353"/>
      <c r="E180" s="357">
        <f t="shared" si="317"/>
        <v>20000</v>
      </c>
      <c r="F180" s="456">
        <f t="shared" ref="F180:G180" si="342">F349</f>
        <v>1</v>
      </c>
      <c r="G180" s="507">
        <f t="shared" si="342"/>
        <v>20000</v>
      </c>
      <c r="H180" s="456">
        <f t="shared" si="311"/>
        <v>0</v>
      </c>
      <c r="I180" s="456">
        <f t="shared" si="311"/>
        <v>0</v>
      </c>
      <c r="J180" s="456">
        <f t="shared" si="311"/>
        <v>20000</v>
      </c>
      <c r="K180" s="456">
        <f t="shared" si="311"/>
        <v>0</v>
      </c>
      <c r="L180" s="456">
        <f t="shared" si="311"/>
        <v>0</v>
      </c>
      <c r="M180" s="576">
        <f t="shared" si="311"/>
        <v>0</v>
      </c>
      <c r="N180" s="357">
        <f t="shared" si="319"/>
        <v>20000</v>
      </c>
      <c r="O180" s="456">
        <f t="shared" si="313"/>
        <v>1</v>
      </c>
      <c r="P180" s="537">
        <f t="shared" si="320"/>
        <v>20000</v>
      </c>
      <c r="Q180" s="456">
        <f t="shared" ref="Q180:AB180" si="343">$P180*Q349</f>
        <v>0</v>
      </c>
      <c r="R180" s="456">
        <f t="shared" si="343"/>
        <v>0</v>
      </c>
      <c r="S180" s="456">
        <f t="shared" si="343"/>
        <v>20000</v>
      </c>
      <c r="T180" s="456">
        <f t="shared" si="343"/>
        <v>0</v>
      </c>
      <c r="U180" s="456">
        <f t="shared" si="343"/>
        <v>0</v>
      </c>
      <c r="V180" s="456">
        <f t="shared" si="343"/>
        <v>0</v>
      </c>
      <c r="W180" s="456">
        <f t="shared" si="343"/>
        <v>0</v>
      </c>
      <c r="X180" s="456">
        <f t="shared" si="343"/>
        <v>0</v>
      </c>
      <c r="Y180" s="456">
        <f t="shared" si="343"/>
        <v>0</v>
      </c>
      <c r="Z180" s="456">
        <f t="shared" si="343"/>
        <v>0</v>
      </c>
      <c r="AA180" s="456">
        <f t="shared" si="343"/>
        <v>0</v>
      </c>
      <c r="AB180" s="576">
        <f t="shared" si="343"/>
        <v>0</v>
      </c>
      <c r="AC180" s="595"/>
      <c r="AD180" s="595" t="str">
        <f t="shared" si="316"/>
        <v>True</v>
      </c>
    </row>
    <row r="181" spans="1:30" s="25" customFormat="1">
      <c r="A181" s="331"/>
      <c r="B181" s="453"/>
      <c r="C181" s="541" t="str">
        <f t="shared" si="308"/>
        <v>Clicnic management software</v>
      </c>
      <c r="D181" s="353"/>
      <c r="E181" s="357">
        <f t="shared" si="317"/>
        <v>10000</v>
      </c>
      <c r="F181" s="456">
        <f t="shared" ref="F181:G181" si="344">F350</f>
        <v>1</v>
      </c>
      <c r="G181" s="507">
        <f t="shared" si="344"/>
        <v>10000</v>
      </c>
      <c r="H181" s="456">
        <f t="shared" si="311"/>
        <v>0</v>
      </c>
      <c r="I181" s="456">
        <f t="shared" si="311"/>
        <v>0</v>
      </c>
      <c r="J181" s="456">
        <f t="shared" si="311"/>
        <v>0</v>
      </c>
      <c r="K181" s="456">
        <f t="shared" si="311"/>
        <v>0</v>
      </c>
      <c r="L181" s="456">
        <f t="shared" si="311"/>
        <v>10000</v>
      </c>
      <c r="M181" s="576">
        <f t="shared" si="311"/>
        <v>0</v>
      </c>
      <c r="N181" s="357">
        <f t="shared" si="319"/>
        <v>10000</v>
      </c>
      <c r="O181" s="456">
        <f t="shared" si="313"/>
        <v>1</v>
      </c>
      <c r="P181" s="537">
        <f t="shared" si="320"/>
        <v>10000</v>
      </c>
      <c r="Q181" s="456">
        <f t="shared" ref="Q181:AB181" si="345">$P181*Q350</f>
        <v>0</v>
      </c>
      <c r="R181" s="456">
        <f t="shared" si="345"/>
        <v>0</v>
      </c>
      <c r="S181" s="456">
        <f t="shared" si="345"/>
        <v>10000</v>
      </c>
      <c r="T181" s="456">
        <f t="shared" si="345"/>
        <v>0</v>
      </c>
      <c r="U181" s="456">
        <f t="shared" si="345"/>
        <v>0</v>
      </c>
      <c r="V181" s="456">
        <f t="shared" si="345"/>
        <v>0</v>
      </c>
      <c r="W181" s="456">
        <f t="shared" si="345"/>
        <v>0</v>
      </c>
      <c r="X181" s="456">
        <f t="shared" si="345"/>
        <v>0</v>
      </c>
      <c r="Y181" s="456">
        <f t="shared" si="345"/>
        <v>0</v>
      </c>
      <c r="Z181" s="456">
        <f t="shared" si="345"/>
        <v>0</v>
      </c>
      <c r="AA181" s="456">
        <f t="shared" si="345"/>
        <v>0</v>
      </c>
      <c r="AB181" s="576">
        <f t="shared" si="345"/>
        <v>0</v>
      </c>
      <c r="AC181" s="595"/>
      <c r="AD181" s="595" t="str">
        <f t="shared" si="316"/>
        <v>True</v>
      </c>
    </row>
    <row r="182" spans="1:30" s="25" customFormat="1">
      <c r="A182" s="331"/>
      <c r="B182" s="453"/>
      <c r="C182" s="47"/>
      <c r="D182" s="314"/>
      <c r="E182" s="357"/>
      <c r="F182" s="51"/>
      <c r="G182" s="507"/>
      <c r="H182" s="51"/>
      <c r="I182" s="51"/>
      <c r="J182" s="51"/>
      <c r="K182" s="51"/>
      <c r="L182" s="51"/>
      <c r="M182" s="368"/>
      <c r="N182" s="339"/>
      <c r="O182" s="521"/>
      <c r="P182" s="339"/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8"/>
      <c r="AB182" s="372"/>
      <c r="AC182" s="595"/>
      <c r="AD182" s="595"/>
    </row>
    <row r="183" spans="1:30" s="25" customFormat="1">
      <c r="A183" s="331"/>
      <c r="B183" s="453"/>
      <c r="C183" s="499" t="s">
        <v>234</v>
      </c>
      <c r="D183" s="343"/>
      <c r="E183" s="370">
        <f>SUM(E168:E182)</f>
        <v>60961</v>
      </c>
      <c r="F183" s="503"/>
      <c r="G183" s="525"/>
      <c r="H183" s="530">
        <f t="shared" ref="H183:N183" si="346">SUM(H168:H182)</f>
        <v>0</v>
      </c>
      <c r="I183" s="530">
        <f t="shared" si="346"/>
        <v>0</v>
      </c>
      <c r="J183" s="530">
        <f t="shared" si="346"/>
        <v>32000</v>
      </c>
      <c r="K183" s="530">
        <f t="shared" si="346"/>
        <v>0</v>
      </c>
      <c r="L183" s="530">
        <f t="shared" si="346"/>
        <v>15000</v>
      </c>
      <c r="M183" s="577">
        <f t="shared" si="346"/>
        <v>13961</v>
      </c>
      <c r="N183" s="370">
        <f t="shared" si="346"/>
        <v>42126</v>
      </c>
      <c r="O183" s="538"/>
      <c r="P183" s="361"/>
      <c r="Q183" s="530">
        <f t="shared" ref="Q183" si="347">SUM(Q168:Q182)</f>
        <v>5000</v>
      </c>
      <c r="R183" s="530">
        <f t="shared" ref="R183" si="348">SUM(R168:R182)</f>
        <v>0</v>
      </c>
      <c r="S183" s="530">
        <f t="shared" ref="S183" si="349">SUM(S168:S182)</f>
        <v>37126</v>
      </c>
      <c r="T183" s="530">
        <f t="shared" ref="T183" si="350">SUM(T168:T182)</f>
        <v>0</v>
      </c>
      <c r="U183" s="530">
        <f t="shared" ref="U183" si="351">SUM(U168:U182)</f>
        <v>0</v>
      </c>
      <c r="V183" s="530">
        <f t="shared" ref="V183" si="352">SUM(V168:V182)</f>
        <v>0</v>
      </c>
      <c r="W183" s="530">
        <f t="shared" ref="W183" si="353">SUM(W168:W182)</f>
        <v>0</v>
      </c>
      <c r="X183" s="530">
        <f t="shared" ref="X183" si="354">SUM(X168:X182)</f>
        <v>0</v>
      </c>
      <c r="Y183" s="530">
        <f t="shared" ref="Y183" si="355">SUM(Y168:Y182)</f>
        <v>0</v>
      </c>
      <c r="Z183" s="530">
        <f t="shared" ref="Z183" si="356">SUM(Z168:Z182)</f>
        <v>0</v>
      </c>
      <c r="AA183" s="530">
        <f t="shared" ref="AA183" si="357">SUM(AA168:AA182)</f>
        <v>0</v>
      </c>
      <c r="AB183" s="577">
        <f t="shared" ref="AB183" si="358">SUM(AB168:AB182)</f>
        <v>0</v>
      </c>
      <c r="AC183" s="595"/>
      <c r="AD183" s="595"/>
    </row>
    <row r="184" spans="1:30" s="61" customFormat="1">
      <c r="A184" s="511"/>
      <c r="B184" s="641"/>
      <c r="D184" s="518"/>
      <c r="E184" s="551"/>
      <c r="F184" s="34"/>
      <c r="G184" s="553"/>
      <c r="H184" s="34"/>
      <c r="I184" s="34"/>
      <c r="J184" s="34"/>
      <c r="K184" s="34"/>
      <c r="L184" s="34"/>
      <c r="M184" s="34"/>
      <c r="O184" s="554"/>
      <c r="AC184" s="598"/>
      <c r="AD184" s="598"/>
    </row>
    <row r="185" spans="1:30" s="25" customFormat="1" ht="15">
      <c r="A185" s="331"/>
      <c r="B185" s="453"/>
      <c r="C185" s="497" t="s">
        <v>373</v>
      </c>
      <c r="D185" s="314"/>
      <c r="E185" s="357"/>
      <c r="F185" s="51"/>
      <c r="G185" s="507"/>
      <c r="H185" s="51"/>
      <c r="I185" s="51"/>
      <c r="J185" s="51"/>
      <c r="K185" s="51"/>
      <c r="L185" s="51"/>
      <c r="M185" s="368"/>
      <c r="N185" s="523"/>
      <c r="O185" s="350"/>
      <c r="P185" s="536"/>
      <c r="Q185" s="352"/>
      <c r="R185" s="352"/>
      <c r="S185" s="348"/>
      <c r="T185" s="48"/>
      <c r="U185" s="48"/>
      <c r="V185" s="48"/>
      <c r="W185" s="48"/>
      <c r="X185" s="48"/>
      <c r="Y185" s="48"/>
      <c r="Z185" s="48"/>
      <c r="AA185" s="48"/>
      <c r="AB185" s="372"/>
      <c r="AC185" s="595"/>
      <c r="AD185" s="595"/>
    </row>
    <row r="186" spans="1:30" s="25" customFormat="1">
      <c r="A186" s="331"/>
      <c r="B186" s="453"/>
      <c r="C186" s="541" t="str">
        <f t="shared" ref="C186:C193" si="359">C355</f>
        <v>Table (examination,1 per doctor)</v>
      </c>
      <c r="D186" s="353"/>
      <c r="E186" s="357">
        <f t="shared" ref="E186" ca="1" si="360">SUM(H186:M186)</f>
        <v>1200</v>
      </c>
      <c r="F186" s="456">
        <f t="shared" ref="F186:G186" ca="1" si="361">F355</f>
        <v>12</v>
      </c>
      <c r="G186" s="507">
        <f t="shared" si="361"/>
        <v>100</v>
      </c>
      <c r="H186" s="456">
        <f t="shared" ref="H186:M193" si="362">$G186*H355</f>
        <v>0</v>
      </c>
      <c r="I186" s="456">
        <f t="shared" si="362"/>
        <v>0</v>
      </c>
      <c r="J186" s="456">
        <f t="shared" ca="1" si="362"/>
        <v>0</v>
      </c>
      <c r="K186" s="456">
        <f t="shared" si="362"/>
        <v>0</v>
      </c>
      <c r="L186" s="456">
        <f t="shared" si="362"/>
        <v>0</v>
      </c>
      <c r="M186" s="576">
        <f t="shared" si="362"/>
        <v>1200</v>
      </c>
      <c r="N186" s="357">
        <f t="shared" ref="N186" si="363">SUM(Q186:AB186)</f>
        <v>100</v>
      </c>
      <c r="O186" s="456">
        <f t="shared" ref="O186:O193" si="364">O355</f>
        <v>1</v>
      </c>
      <c r="P186" s="537">
        <f t="shared" ref="P186" si="365">G186</f>
        <v>100</v>
      </c>
      <c r="Q186" s="456">
        <f t="shared" ref="Q186:AB186" si="366">$P186*Q355</f>
        <v>0</v>
      </c>
      <c r="R186" s="456">
        <f t="shared" si="366"/>
        <v>0</v>
      </c>
      <c r="S186" s="456">
        <f t="shared" si="366"/>
        <v>100</v>
      </c>
      <c r="T186" s="456">
        <f t="shared" si="366"/>
        <v>0</v>
      </c>
      <c r="U186" s="456">
        <f t="shared" si="366"/>
        <v>0</v>
      </c>
      <c r="V186" s="456">
        <f t="shared" si="366"/>
        <v>0</v>
      </c>
      <c r="W186" s="456">
        <f t="shared" si="366"/>
        <v>0</v>
      </c>
      <c r="X186" s="456">
        <f t="shared" si="366"/>
        <v>0</v>
      </c>
      <c r="Y186" s="456">
        <f t="shared" si="366"/>
        <v>0</v>
      </c>
      <c r="Z186" s="456">
        <f t="shared" si="366"/>
        <v>0</v>
      </c>
      <c r="AA186" s="456">
        <f t="shared" si="366"/>
        <v>0</v>
      </c>
      <c r="AB186" s="576">
        <f t="shared" si="366"/>
        <v>0</v>
      </c>
      <c r="AC186" s="595"/>
      <c r="AD186" s="595" t="str">
        <f t="shared" ref="AD186:AD193" ca="1" si="367">IF(SUM(F186,O186)-AC186&gt;=0,"True","False")</f>
        <v>True</v>
      </c>
    </row>
    <row r="187" spans="1:30" s="25" customFormat="1">
      <c r="A187" s="331"/>
      <c r="B187" s="453"/>
      <c r="C187" s="541" t="str">
        <f t="shared" si="359"/>
        <v>Chairs (patient)</v>
      </c>
      <c r="D187" s="353"/>
      <c r="E187" s="357">
        <f t="shared" ref="E187:E193" ca="1" si="368">SUM(H187:M187)</f>
        <v>1000</v>
      </c>
      <c r="F187" s="456">
        <f t="shared" ref="F187:G187" ca="1" si="369">F356</f>
        <v>100</v>
      </c>
      <c r="G187" s="507">
        <f t="shared" si="369"/>
        <v>10</v>
      </c>
      <c r="H187" s="456">
        <f t="shared" si="362"/>
        <v>0</v>
      </c>
      <c r="I187" s="456">
        <f t="shared" si="362"/>
        <v>0</v>
      </c>
      <c r="J187" s="456">
        <f t="shared" ca="1" si="362"/>
        <v>0</v>
      </c>
      <c r="K187" s="456">
        <f t="shared" si="362"/>
        <v>0</v>
      </c>
      <c r="L187" s="456">
        <f t="shared" si="362"/>
        <v>0</v>
      </c>
      <c r="M187" s="576">
        <f t="shared" si="362"/>
        <v>1000</v>
      </c>
      <c r="N187" s="357">
        <f t="shared" ref="N187:N193" si="370">SUM(Q187:AB187)</f>
        <v>10</v>
      </c>
      <c r="O187" s="456">
        <f t="shared" si="364"/>
        <v>1</v>
      </c>
      <c r="P187" s="537">
        <f t="shared" ref="P187:P193" si="371">G187</f>
        <v>10</v>
      </c>
      <c r="Q187" s="456">
        <f t="shared" ref="Q187:AB187" si="372">$P187*Q356</f>
        <v>0</v>
      </c>
      <c r="R187" s="456">
        <f t="shared" si="372"/>
        <v>0</v>
      </c>
      <c r="S187" s="456">
        <f t="shared" si="372"/>
        <v>10</v>
      </c>
      <c r="T187" s="456">
        <f t="shared" si="372"/>
        <v>0</v>
      </c>
      <c r="U187" s="456">
        <f t="shared" si="372"/>
        <v>0</v>
      </c>
      <c r="V187" s="456">
        <f t="shared" si="372"/>
        <v>0</v>
      </c>
      <c r="W187" s="456">
        <f t="shared" si="372"/>
        <v>0</v>
      </c>
      <c r="X187" s="456">
        <f t="shared" si="372"/>
        <v>0</v>
      </c>
      <c r="Y187" s="456">
        <f t="shared" si="372"/>
        <v>0</v>
      </c>
      <c r="Z187" s="456">
        <f t="shared" si="372"/>
        <v>0</v>
      </c>
      <c r="AA187" s="456">
        <f t="shared" si="372"/>
        <v>0</v>
      </c>
      <c r="AB187" s="576">
        <f t="shared" si="372"/>
        <v>0</v>
      </c>
      <c r="AC187" s="595"/>
      <c r="AD187" s="595" t="str">
        <f t="shared" ca="1" si="367"/>
        <v>True</v>
      </c>
    </row>
    <row r="188" spans="1:30" s="25" customFormat="1">
      <c r="A188" s="331"/>
      <c r="B188" s="453"/>
      <c r="C188" s="541" t="str">
        <f t="shared" si="359"/>
        <v>Working desks (FT staff besides doctors)</v>
      </c>
      <c r="D188" s="353"/>
      <c r="E188" s="357">
        <f t="shared" ca="1" si="368"/>
        <v>1500</v>
      </c>
      <c r="F188" s="456">
        <f t="shared" ref="F188:G188" ca="1" si="373">F357</f>
        <v>30</v>
      </c>
      <c r="G188" s="507">
        <f t="shared" si="373"/>
        <v>50</v>
      </c>
      <c r="H188" s="456">
        <f t="shared" si="362"/>
        <v>0</v>
      </c>
      <c r="I188" s="456">
        <f t="shared" si="362"/>
        <v>0</v>
      </c>
      <c r="J188" s="456">
        <f t="shared" ca="1" si="362"/>
        <v>0</v>
      </c>
      <c r="K188" s="456">
        <f t="shared" si="362"/>
        <v>0</v>
      </c>
      <c r="L188" s="456">
        <f t="shared" si="362"/>
        <v>0</v>
      </c>
      <c r="M188" s="576">
        <f t="shared" si="362"/>
        <v>1500</v>
      </c>
      <c r="N188" s="357">
        <f t="shared" si="370"/>
        <v>50</v>
      </c>
      <c r="O188" s="456">
        <f t="shared" si="364"/>
        <v>1</v>
      </c>
      <c r="P188" s="537">
        <f t="shared" si="371"/>
        <v>50</v>
      </c>
      <c r="Q188" s="456">
        <f t="shared" ref="Q188:AB188" si="374">$P188*Q357</f>
        <v>0</v>
      </c>
      <c r="R188" s="456">
        <f t="shared" si="374"/>
        <v>0</v>
      </c>
      <c r="S188" s="456">
        <f t="shared" si="374"/>
        <v>50</v>
      </c>
      <c r="T188" s="456">
        <f t="shared" si="374"/>
        <v>0</v>
      </c>
      <c r="U188" s="456">
        <f t="shared" si="374"/>
        <v>0</v>
      </c>
      <c r="V188" s="456">
        <f t="shared" si="374"/>
        <v>0</v>
      </c>
      <c r="W188" s="456">
        <f t="shared" si="374"/>
        <v>0</v>
      </c>
      <c r="X188" s="456">
        <f t="shared" si="374"/>
        <v>0</v>
      </c>
      <c r="Y188" s="456">
        <f t="shared" si="374"/>
        <v>0</v>
      </c>
      <c r="Z188" s="456">
        <f t="shared" si="374"/>
        <v>0</v>
      </c>
      <c r="AA188" s="456">
        <f t="shared" si="374"/>
        <v>0</v>
      </c>
      <c r="AB188" s="576">
        <f t="shared" si="374"/>
        <v>0</v>
      </c>
      <c r="AC188" s="595"/>
      <c r="AD188" s="595" t="str">
        <f t="shared" ca="1" si="367"/>
        <v>True</v>
      </c>
    </row>
    <row r="189" spans="1:30" s="25" customFormat="1">
      <c r="A189" s="331"/>
      <c r="B189" s="453"/>
      <c r="C189" s="541" t="str">
        <f t="shared" si="359"/>
        <v>White Board</v>
      </c>
      <c r="D189" s="353"/>
      <c r="E189" s="357">
        <f t="shared" ca="1" si="368"/>
        <v>140</v>
      </c>
      <c r="F189" s="456">
        <f t="shared" ref="F189:G189" ca="1" si="375">F358</f>
        <v>2</v>
      </c>
      <c r="G189" s="507">
        <f t="shared" si="375"/>
        <v>70</v>
      </c>
      <c r="H189" s="456">
        <f t="shared" si="362"/>
        <v>0</v>
      </c>
      <c r="I189" s="456">
        <f t="shared" si="362"/>
        <v>0</v>
      </c>
      <c r="J189" s="456">
        <f t="shared" ca="1" si="362"/>
        <v>0</v>
      </c>
      <c r="K189" s="456">
        <f t="shared" si="362"/>
        <v>0</v>
      </c>
      <c r="L189" s="456">
        <f t="shared" si="362"/>
        <v>0</v>
      </c>
      <c r="M189" s="576">
        <f t="shared" si="362"/>
        <v>140</v>
      </c>
      <c r="N189" s="357">
        <f t="shared" si="370"/>
        <v>70</v>
      </c>
      <c r="O189" s="456">
        <f t="shared" si="364"/>
        <v>1</v>
      </c>
      <c r="P189" s="537">
        <f t="shared" si="371"/>
        <v>70</v>
      </c>
      <c r="Q189" s="456">
        <f t="shared" ref="Q189:AB189" si="376">$P189*Q358</f>
        <v>0</v>
      </c>
      <c r="R189" s="456">
        <f t="shared" si="376"/>
        <v>0</v>
      </c>
      <c r="S189" s="456">
        <f t="shared" si="376"/>
        <v>70</v>
      </c>
      <c r="T189" s="456">
        <f t="shared" si="376"/>
        <v>0</v>
      </c>
      <c r="U189" s="456">
        <f t="shared" si="376"/>
        <v>0</v>
      </c>
      <c r="V189" s="456">
        <f t="shared" si="376"/>
        <v>0</v>
      </c>
      <c r="W189" s="456">
        <f t="shared" si="376"/>
        <v>0</v>
      </c>
      <c r="X189" s="456">
        <f t="shared" si="376"/>
        <v>0</v>
      </c>
      <c r="Y189" s="456">
        <f t="shared" si="376"/>
        <v>0</v>
      </c>
      <c r="Z189" s="456">
        <f t="shared" si="376"/>
        <v>0</v>
      </c>
      <c r="AA189" s="456">
        <f t="shared" si="376"/>
        <v>0</v>
      </c>
      <c r="AB189" s="576">
        <f t="shared" si="376"/>
        <v>0</v>
      </c>
      <c r="AC189" s="599">
        <f>SUMIF('List of equipment'!$O:$O,'List of equipment'!$O$31,'List of equipment'!$Q:$Q)*0.1</f>
        <v>1.7000000000000002</v>
      </c>
      <c r="AD189" s="595" t="str">
        <f t="shared" ca="1" si="367"/>
        <v>True</v>
      </c>
    </row>
    <row r="190" spans="1:30" s="25" customFormat="1">
      <c r="A190" s="331"/>
      <c r="B190" s="453"/>
      <c r="C190" s="541" t="str">
        <f t="shared" si="359"/>
        <v>Cash Safety Box</v>
      </c>
      <c r="D190" s="353"/>
      <c r="E190" s="357">
        <f t="shared" ca="1" si="368"/>
        <v>0</v>
      </c>
      <c r="F190" s="456">
        <f t="shared" ref="F190:G190" ca="1" si="377">F359</f>
        <v>0</v>
      </c>
      <c r="G190" s="507">
        <f t="shared" si="377"/>
        <v>1500</v>
      </c>
      <c r="H190" s="456">
        <f t="shared" si="362"/>
        <v>0</v>
      </c>
      <c r="I190" s="456">
        <f t="shared" si="362"/>
        <v>0</v>
      </c>
      <c r="J190" s="456">
        <f t="shared" ca="1" si="362"/>
        <v>0</v>
      </c>
      <c r="K190" s="456">
        <f t="shared" si="362"/>
        <v>0</v>
      </c>
      <c r="L190" s="456">
        <f t="shared" si="362"/>
        <v>0</v>
      </c>
      <c r="M190" s="576">
        <f t="shared" si="362"/>
        <v>0</v>
      </c>
      <c r="N190" s="357">
        <f t="shared" si="370"/>
        <v>4500</v>
      </c>
      <c r="O190" s="456">
        <f t="shared" si="364"/>
        <v>3</v>
      </c>
      <c r="P190" s="537">
        <f t="shared" si="371"/>
        <v>1500</v>
      </c>
      <c r="Q190" s="456">
        <f t="shared" ref="Q190:AB190" si="378">$P190*Q359</f>
        <v>4500</v>
      </c>
      <c r="R190" s="456">
        <f t="shared" si="378"/>
        <v>0</v>
      </c>
      <c r="S190" s="456">
        <f t="shared" si="378"/>
        <v>0</v>
      </c>
      <c r="T190" s="456">
        <f t="shared" si="378"/>
        <v>0</v>
      </c>
      <c r="U190" s="456">
        <f t="shared" si="378"/>
        <v>0</v>
      </c>
      <c r="V190" s="456">
        <f t="shared" si="378"/>
        <v>0</v>
      </c>
      <c r="W190" s="456">
        <f t="shared" si="378"/>
        <v>0</v>
      </c>
      <c r="X190" s="456">
        <f t="shared" si="378"/>
        <v>0</v>
      </c>
      <c r="Y190" s="456">
        <f t="shared" si="378"/>
        <v>0</v>
      </c>
      <c r="Z190" s="456">
        <f t="shared" si="378"/>
        <v>0</v>
      </c>
      <c r="AA190" s="456">
        <f t="shared" si="378"/>
        <v>0</v>
      </c>
      <c r="AB190" s="576">
        <f t="shared" si="378"/>
        <v>0</v>
      </c>
      <c r="AC190" s="599">
        <f>SUMIF('List of equipment'!$O:$O,'List of equipment'!$O$319,'List of equipment'!$Q:$Q)</f>
        <v>3</v>
      </c>
      <c r="AD190" s="595" t="str">
        <f t="shared" ca="1" si="367"/>
        <v>True</v>
      </c>
    </row>
    <row r="191" spans="1:30" s="25" customFormat="1">
      <c r="A191" s="331"/>
      <c r="B191" s="453"/>
      <c r="C191" s="541" t="str">
        <f t="shared" si="359"/>
        <v>Airconditioner</v>
      </c>
      <c r="D191" s="353"/>
      <c r="E191" s="357">
        <f t="shared" ca="1" si="368"/>
        <v>5000</v>
      </c>
      <c r="F191" s="456">
        <f t="shared" ref="F191:G191" ca="1" si="379">F360</f>
        <v>10</v>
      </c>
      <c r="G191" s="507">
        <f t="shared" si="379"/>
        <v>500</v>
      </c>
      <c r="H191" s="456">
        <f t="shared" si="362"/>
        <v>0</v>
      </c>
      <c r="I191" s="456">
        <f t="shared" si="362"/>
        <v>0</v>
      </c>
      <c r="J191" s="456">
        <f t="shared" ca="1" si="362"/>
        <v>0</v>
      </c>
      <c r="K191" s="456">
        <f t="shared" si="362"/>
        <v>0</v>
      </c>
      <c r="L191" s="456">
        <f t="shared" si="362"/>
        <v>5000</v>
      </c>
      <c r="M191" s="576">
        <f t="shared" si="362"/>
        <v>0</v>
      </c>
      <c r="N191" s="357">
        <f t="shared" si="370"/>
        <v>5500</v>
      </c>
      <c r="O191" s="456">
        <f t="shared" si="364"/>
        <v>11</v>
      </c>
      <c r="P191" s="537">
        <f t="shared" si="371"/>
        <v>500</v>
      </c>
      <c r="Q191" s="456">
        <f t="shared" ref="Q191:AB191" si="380">$P191*Q360</f>
        <v>0</v>
      </c>
      <c r="R191" s="456">
        <f t="shared" si="380"/>
        <v>0</v>
      </c>
      <c r="S191" s="456">
        <f t="shared" si="380"/>
        <v>500</v>
      </c>
      <c r="T191" s="456">
        <f t="shared" si="380"/>
        <v>0</v>
      </c>
      <c r="U191" s="456">
        <f t="shared" si="380"/>
        <v>0</v>
      </c>
      <c r="V191" s="456">
        <f t="shared" si="380"/>
        <v>5000</v>
      </c>
      <c r="W191" s="456">
        <f t="shared" si="380"/>
        <v>0</v>
      </c>
      <c r="X191" s="456">
        <f t="shared" si="380"/>
        <v>0</v>
      </c>
      <c r="Y191" s="456">
        <f t="shared" si="380"/>
        <v>0</v>
      </c>
      <c r="Z191" s="456">
        <f t="shared" si="380"/>
        <v>0</v>
      </c>
      <c r="AA191" s="456">
        <f t="shared" si="380"/>
        <v>0</v>
      </c>
      <c r="AB191" s="576">
        <f t="shared" si="380"/>
        <v>0</v>
      </c>
      <c r="AC191" s="595">
        <f>'App 10_5Yr Op Exp'!$E$20/$E$28</f>
        <v>30</v>
      </c>
      <c r="AD191" s="595" t="str">
        <f t="shared" ca="1" si="367"/>
        <v>False</v>
      </c>
    </row>
    <row r="192" spans="1:30" s="25" customFormat="1">
      <c r="A192" s="331"/>
      <c r="B192" s="453"/>
      <c r="C192" s="541" t="str">
        <f t="shared" si="359"/>
        <v>Cabinet, instruments</v>
      </c>
      <c r="D192" s="353"/>
      <c r="E192" s="357">
        <f t="shared" ca="1" si="368"/>
        <v>3000</v>
      </c>
      <c r="F192" s="456">
        <f t="shared" ref="F192:G192" ca="1" si="381">F361</f>
        <v>20</v>
      </c>
      <c r="G192" s="507">
        <f t="shared" si="381"/>
        <v>150</v>
      </c>
      <c r="H192" s="456">
        <f t="shared" si="362"/>
        <v>0</v>
      </c>
      <c r="I192" s="456">
        <f t="shared" si="362"/>
        <v>0</v>
      </c>
      <c r="J192" s="456">
        <f t="shared" ca="1" si="362"/>
        <v>0</v>
      </c>
      <c r="K192" s="456">
        <f t="shared" si="362"/>
        <v>0</v>
      </c>
      <c r="L192" s="456">
        <f t="shared" si="362"/>
        <v>3000</v>
      </c>
      <c r="M192" s="576">
        <f t="shared" si="362"/>
        <v>0</v>
      </c>
      <c r="N192" s="357">
        <f t="shared" si="370"/>
        <v>150</v>
      </c>
      <c r="O192" s="456">
        <f t="shared" si="364"/>
        <v>1</v>
      </c>
      <c r="P192" s="537">
        <f t="shared" si="371"/>
        <v>150</v>
      </c>
      <c r="Q192" s="456">
        <f t="shared" ref="Q192:AB192" si="382">$P192*Q361</f>
        <v>0</v>
      </c>
      <c r="R192" s="456">
        <f t="shared" si="382"/>
        <v>0</v>
      </c>
      <c r="S192" s="456">
        <f t="shared" si="382"/>
        <v>150</v>
      </c>
      <c r="T192" s="456">
        <f t="shared" si="382"/>
        <v>0</v>
      </c>
      <c r="U192" s="456">
        <f t="shared" si="382"/>
        <v>0</v>
      </c>
      <c r="V192" s="456">
        <f t="shared" si="382"/>
        <v>0</v>
      </c>
      <c r="W192" s="456">
        <f t="shared" si="382"/>
        <v>0</v>
      </c>
      <c r="X192" s="456">
        <f t="shared" si="382"/>
        <v>0</v>
      </c>
      <c r="Y192" s="456">
        <f t="shared" si="382"/>
        <v>0</v>
      </c>
      <c r="Z192" s="456">
        <f t="shared" si="382"/>
        <v>0</v>
      </c>
      <c r="AA192" s="456">
        <f t="shared" si="382"/>
        <v>0</v>
      </c>
      <c r="AB192" s="576">
        <f t="shared" si="382"/>
        <v>0</v>
      </c>
      <c r="AC192" s="599">
        <f>SUMIF('List of equipment'!$O:$O,'List of equipment'!$O$31,'List of equipment'!$Q:$Q)</f>
        <v>17</v>
      </c>
      <c r="AD192" s="595" t="str">
        <f t="shared" ca="1" si="367"/>
        <v>True</v>
      </c>
    </row>
    <row r="193" spans="1:42" s="25" customFormat="1">
      <c r="A193" s="331"/>
      <c r="B193" s="453"/>
      <c r="C193" s="541" t="str">
        <f t="shared" si="359"/>
        <v>Book shelves (client medical records)</v>
      </c>
      <c r="D193" s="353"/>
      <c r="E193" s="357">
        <f t="shared" ca="1" si="368"/>
        <v>500</v>
      </c>
      <c r="F193" s="456">
        <f t="shared" ref="F193:G193" ca="1" si="383">F362</f>
        <v>5</v>
      </c>
      <c r="G193" s="507">
        <f t="shared" si="383"/>
        <v>100</v>
      </c>
      <c r="H193" s="456">
        <f t="shared" si="362"/>
        <v>0</v>
      </c>
      <c r="I193" s="456">
        <f t="shared" si="362"/>
        <v>0</v>
      </c>
      <c r="J193" s="456">
        <f t="shared" ca="1" si="362"/>
        <v>0</v>
      </c>
      <c r="K193" s="456">
        <f t="shared" si="362"/>
        <v>0</v>
      </c>
      <c r="L193" s="456">
        <f t="shared" si="362"/>
        <v>0</v>
      </c>
      <c r="M193" s="576">
        <f t="shared" si="362"/>
        <v>500</v>
      </c>
      <c r="N193" s="357">
        <f t="shared" si="370"/>
        <v>100</v>
      </c>
      <c r="O193" s="456">
        <f t="shared" si="364"/>
        <v>1</v>
      </c>
      <c r="P193" s="537">
        <f t="shared" si="371"/>
        <v>100</v>
      </c>
      <c r="Q193" s="456">
        <f t="shared" ref="Q193:AB193" si="384">$P193*Q362</f>
        <v>0</v>
      </c>
      <c r="R193" s="456">
        <f t="shared" si="384"/>
        <v>0</v>
      </c>
      <c r="S193" s="456">
        <f t="shared" si="384"/>
        <v>100</v>
      </c>
      <c r="T193" s="456">
        <f t="shared" si="384"/>
        <v>0</v>
      </c>
      <c r="U193" s="456">
        <f t="shared" si="384"/>
        <v>0</v>
      </c>
      <c r="V193" s="456">
        <f t="shared" si="384"/>
        <v>0</v>
      </c>
      <c r="W193" s="456">
        <f t="shared" si="384"/>
        <v>0</v>
      </c>
      <c r="X193" s="456">
        <f t="shared" si="384"/>
        <v>0</v>
      </c>
      <c r="Y193" s="456">
        <f t="shared" si="384"/>
        <v>0</v>
      </c>
      <c r="Z193" s="456">
        <f t="shared" si="384"/>
        <v>0</v>
      </c>
      <c r="AA193" s="456">
        <f t="shared" si="384"/>
        <v>0</v>
      </c>
      <c r="AB193" s="576">
        <f t="shared" si="384"/>
        <v>0</v>
      </c>
      <c r="AC193" s="599">
        <f>SUMIF('List of equipment'!$O:$O,'List of equipment'!O310,'List of equipment'!$Q:$Q)*0.1</f>
        <v>0.1</v>
      </c>
      <c r="AD193" s="595" t="str">
        <f t="shared" ca="1" si="367"/>
        <v>True</v>
      </c>
    </row>
    <row r="194" spans="1:42" s="25" customFormat="1">
      <c r="A194" s="331"/>
      <c r="B194" s="453"/>
      <c r="C194" s="47"/>
      <c r="D194" s="314"/>
      <c r="E194" s="357"/>
      <c r="F194" s="51"/>
      <c r="G194" s="507"/>
      <c r="H194" s="51"/>
      <c r="I194" s="51"/>
      <c r="J194" s="51"/>
      <c r="K194" s="51"/>
      <c r="L194" s="51"/>
      <c r="M194" s="368"/>
      <c r="N194" s="339"/>
      <c r="O194" s="521"/>
      <c r="P194" s="339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8"/>
      <c r="AB194" s="372"/>
      <c r="AC194" s="595"/>
      <c r="AD194" s="595"/>
    </row>
    <row r="195" spans="1:42" s="25" customFormat="1">
      <c r="A195" s="331"/>
      <c r="B195" s="453"/>
      <c r="C195" s="499" t="s">
        <v>234</v>
      </c>
      <c r="D195" s="343"/>
      <c r="E195" s="370">
        <f ca="1">SUM(E187:E194)</f>
        <v>11140</v>
      </c>
      <c r="F195" s="503"/>
      <c r="G195" s="525"/>
      <c r="H195" s="530">
        <f t="shared" ref="H195:M195" si="385">SUM(H187:H194)</f>
        <v>0</v>
      </c>
      <c r="I195" s="530">
        <f t="shared" si="385"/>
        <v>0</v>
      </c>
      <c r="J195" s="530">
        <f t="shared" ca="1" si="385"/>
        <v>0</v>
      </c>
      <c r="K195" s="530">
        <f t="shared" si="385"/>
        <v>0</v>
      </c>
      <c r="L195" s="530">
        <f t="shared" si="385"/>
        <v>8000</v>
      </c>
      <c r="M195" s="577">
        <f t="shared" si="385"/>
        <v>3140</v>
      </c>
      <c r="N195" s="370">
        <f>SUM(N187:N194)</f>
        <v>10380</v>
      </c>
      <c r="O195" s="538"/>
      <c r="P195" s="361"/>
      <c r="Q195" s="530">
        <f t="shared" ref="Q195" si="386">SUM(Q187:Q194)</f>
        <v>4500</v>
      </c>
      <c r="R195" s="530">
        <f t="shared" ref="R195" si="387">SUM(R187:R194)</f>
        <v>0</v>
      </c>
      <c r="S195" s="530">
        <f t="shared" ref="S195" si="388">SUM(S187:S194)</f>
        <v>880</v>
      </c>
      <c r="T195" s="530">
        <f t="shared" ref="T195" si="389">SUM(T187:T194)</f>
        <v>0</v>
      </c>
      <c r="U195" s="530">
        <f t="shared" ref="U195" si="390">SUM(U187:U194)</f>
        <v>0</v>
      </c>
      <c r="V195" s="530">
        <f t="shared" ref="V195" si="391">SUM(V187:V194)</f>
        <v>5000</v>
      </c>
      <c r="W195" s="530">
        <f t="shared" ref="W195" si="392">SUM(W187:W194)</f>
        <v>0</v>
      </c>
      <c r="X195" s="530">
        <f t="shared" ref="X195" si="393">SUM(X187:X194)</f>
        <v>0</v>
      </c>
      <c r="Y195" s="530">
        <f t="shared" ref="Y195" si="394">SUM(Y187:Y194)</f>
        <v>0</v>
      </c>
      <c r="Z195" s="530">
        <f t="shared" ref="Z195" si="395">SUM(Z187:Z194)</f>
        <v>0</v>
      </c>
      <c r="AA195" s="530">
        <f t="shared" ref="AA195" si="396">SUM(AA187:AA194)</f>
        <v>0</v>
      </c>
      <c r="AB195" s="577">
        <f t="shared" ref="AB195" si="397">SUM(AB187:AB194)</f>
        <v>0</v>
      </c>
      <c r="AC195" s="595"/>
      <c r="AD195" s="595"/>
    </row>
    <row r="196" spans="1:42" s="48" customFormat="1">
      <c r="A196" s="511"/>
      <c r="B196" s="641"/>
      <c r="D196" s="314"/>
      <c r="E196" s="456"/>
      <c r="F196" s="51"/>
      <c r="G196" s="512"/>
      <c r="H196" s="51"/>
      <c r="I196" s="51"/>
      <c r="J196" s="51"/>
      <c r="K196" s="51"/>
      <c r="L196" s="51"/>
      <c r="M196" s="51"/>
      <c r="O196" s="521"/>
      <c r="AC196" s="597"/>
      <c r="AD196" s="597"/>
    </row>
    <row r="197" spans="1:42" s="25" customFormat="1" ht="15">
      <c r="A197" s="331"/>
      <c r="B197" s="453"/>
      <c r="C197" s="534" t="s">
        <v>657</v>
      </c>
      <c r="D197" s="496"/>
      <c r="E197" s="363"/>
      <c r="F197" s="364"/>
      <c r="G197" s="505"/>
      <c r="H197" s="364"/>
      <c r="I197" s="364"/>
      <c r="J197" s="364"/>
      <c r="K197" s="364"/>
      <c r="L197" s="364"/>
      <c r="M197" s="365"/>
      <c r="N197" s="522"/>
      <c r="O197" s="542"/>
      <c r="P197" s="535"/>
      <c r="Q197" s="514"/>
      <c r="R197" s="514"/>
      <c r="S197" s="515"/>
      <c r="T197" s="455"/>
      <c r="U197" s="455"/>
      <c r="V197" s="455"/>
      <c r="W197" s="455"/>
      <c r="X197" s="455"/>
      <c r="Y197" s="455"/>
      <c r="Z197" s="455"/>
      <c r="AA197" s="455"/>
      <c r="AB197" s="516"/>
      <c r="AC197" s="595"/>
      <c r="AD197" s="595"/>
    </row>
    <row r="198" spans="1:42" s="25" customFormat="1">
      <c r="A198" s="331"/>
      <c r="B198" s="453"/>
      <c r="C198" s="541" t="str">
        <f t="shared" ref="C198:C200" si="398">C367</f>
        <v>Scooters (sample collection &amp; delivery)</v>
      </c>
      <c r="D198" s="353"/>
      <c r="E198" s="357">
        <f t="shared" ref="E198" ca="1" si="399">SUM(H198:M198)</f>
        <v>0</v>
      </c>
      <c r="F198" s="456">
        <f t="shared" ref="F198:G198" ca="1" si="400">F367</f>
        <v>0</v>
      </c>
      <c r="G198" s="507">
        <f t="shared" si="400"/>
        <v>1000</v>
      </c>
      <c r="H198" s="456">
        <f t="shared" ref="H198:M200" si="401">$G198*H367</f>
        <v>0</v>
      </c>
      <c r="I198" s="456">
        <f t="shared" si="401"/>
        <v>0</v>
      </c>
      <c r="J198" s="456">
        <f t="shared" ca="1" si="401"/>
        <v>0</v>
      </c>
      <c r="K198" s="456">
        <f t="shared" si="401"/>
        <v>0</v>
      </c>
      <c r="L198" s="456">
        <f t="shared" si="401"/>
        <v>0</v>
      </c>
      <c r="M198" s="576">
        <f t="shared" si="401"/>
        <v>0</v>
      </c>
      <c r="N198" s="357">
        <f t="shared" ref="N198" si="402">SUM(Q198:AB198)</f>
        <v>4000</v>
      </c>
      <c r="O198" s="456">
        <f t="shared" ref="O198:O200" si="403">O367</f>
        <v>4</v>
      </c>
      <c r="P198" s="537">
        <f t="shared" ref="P198" si="404">G198</f>
        <v>1000</v>
      </c>
      <c r="Q198" s="456">
        <f t="shared" ref="Q198:AB198" si="405">$P198*Q367</f>
        <v>1000</v>
      </c>
      <c r="R198" s="456">
        <f t="shared" si="405"/>
        <v>0</v>
      </c>
      <c r="S198" s="456">
        <f t="shared" si="405"/>
        <v>1000</v>
      </c>
      <c r="T198" s="456">
        <f t="shared" si="405"/>
        <v>0</v>
      </c>
      <c r="U198" s="456">
        <f t="shared" si="405"/>
        <v>0</v>
      </c>
      <c r="V198" s="456">
        <f t="shared" si="405"/>
        <v>1000</v>
      </c>
      <c r="W198" s="456">
        <f t="shared" si="405"/>
        <v>0</v>
      </c>
      <c r="X198" s="456">
        <f t="shared" si="405"/>
        <v>0</v>
      </c>
      <c r="Y198" s="456">
        <f t="shared" si="405"/>
        <v>0</v>
      </c>
      <c r="Z198" s="456">
        <f t="shared" si="405"/>
        <v>0</v>
      </c>
      <c r="AA198" s="456">
        <f t="shared" si="405"/>
        <v>0</v>
      </c>
      <c r="AB198" s="576">
        <f t="shared" si="405"/>
        <v>1000</v>
      </c>
      <c r="AC198" s="595">
        <f>SUM('App 9_Yr1 Headcount'!F44)</f>
        <v>15000</v>
      </c>
      <c r="AD198" s="595" t="str">
        <f t="shared" ref="AD198:AD201" ca="1" si="406">IF(SUM(F198,O198)-AC198&gt;=0,"True","False")</f>
        <v>False</v>
      </c>
    </row>
    <row r="199" spans="1:42" s="25" customFormat="1">
      <c r="A199" s="331"/>
      <c r="B199" s="453"/>
      <c r="C199" s="541" t="str">
        <f t="shared" si="398"/>
        <v>Car (4 sits)</v>
      </c>
      <c r="D199" s="353"/>
      <c r="E199" s="357">
        <f t="shared" ref="E199:E200" ca="1" si="407">SUM(H199:M199)</f>
        <v>0</v>
      </c>
      <c r="F199" s="456">
        <f t="shared" ref="F199:G199" ca="1" si="408">F368</f>
        <v>0</v>
      </c>
      <c r="G199" s="507">
        <f t="shared" si="408"/>
        <v>40000</v>
      </c>
      <c r="H199" s="456">
        <f t="shared" si="401"/>
        <v>0</v>
      </c>
      <c r="I199" s="456">
        <f t="shared" si="401"/>
        <v>0</v>
      </c>
      <c r="J199" s="456">
        <f t="shared" ca="1" si="401"/>
        <v>0</v>
      </c>
      <c r="K199" s="456">
        <f t="shared" si="401"/>
        <v>0</v>
      </c>
      <c r="L199" s="456">
        <f t="shared" si="401"/>
        <v>0</v>
      </c>
      <c r="M199" s="576">
        <f t="shared" si="401"/>
        <v>0</v>
      </c>
      <c r="N199" s="357">
        <f t="shared" ref="N199:N200" si="409">SUM(Q199:AB199)</f>
        <v>40000</v>
      </c>
      <c r="O199" s="456">
        <f t="shared" si="403"/>
        <v>1</v>
      </c>
      <c r="P199" s="537">
        <f t="shared" ref="P199:P200" si="410">G199</f>
        <v>40000</v>
      </c>
      <c r="Q199" s="456">
        <f t="shared" ref="Q199:AB199" si="411">$P199*Q368</f>
        <v>0</v>
      </c>
      <c r="R199" s="456">
        <f t="shared" si="411"/>
        <v>0</v>
      </c>
      <c r="S199" s="456">
        <f t="shared" si="411"/>
        <v>40000</v>
      </c>
      <c r="T199" s="456">
        <f t="shared" si="411"/>
        <v>0</v>
      </c>
      <c r="U199" s="456">
        <f t="shared" si="411"/>
        <v>0</v>
      </c>
      <c r="V199" s="456">
        <f t="shared" si="411"/>
        <v>0</v>
      </c>
      <c r="W199" s="456">
        <f t="shared" si="411"/>
        <v>0</v>
      </c>
      <c r="X199" s="456">
        <f t="shared" si="411"/>
        <v>0</v>
      </c>
      <c r="Y199" s="456">
        <f t="shared" si="411"/>
        <v>0</v>
      </c>
      <c r="Z199" s="456">
        <f t="shared" si="411"/>
        <v>0</v>
      </c>
      <c r="AA199" s="456">
        <f t="shared" si="411"/>
        <v>0</v>
      </c>
      <c r="AB199" s="576">
        <f t="shared" si="411"/>
        <v>0</v>
      </c>
      <c r="AC199" s="595"/>
      <c r="AD199" s="595" t="str">
        <f t="shared" ca="1" si="406"/>
        <v>True</v>
      </c>
    </row>
    <row r="200" spans="1:42" s="25" customFormat="1">
      <c r="A200" s="331"/>
      <c r="B200" s="453"/>
      <c r="C200" s="541" t="str">
        <f t="shared" si="398"/>
        <v>Car (7 sits)</v>
      </c>
      <c r="D200" s="353"/>
      <c r="E200" s="357">
        <f t="shared" ca="1" si="407"/>
        <v>0</v>
      </c>
      <c r="F200" s="456">
        <f t="shared" ref="F200:G200" ca="1" si="412">F369</f>
        <v>0</v>
      </c>
      <c r="G200" s="507">
        <f t="shared" si="412"/>
        <v>60000</v>
      </c>
      <c r="H200" s="456">
        <f t="shared" si="401"/>
        <v>0</v>
      </c>
      <c r="I200" s="456">
        <f t="shared" si="401"/>
        <v>0</v>
      </c>
      <c r="J200" s="456">
        <f t="shared" ca="1" si="401"/>
        <v>0</v>
      </c>
      <c r="K200" s="456">
        <f t="shared" si="401"/>
        <v>0</v>
      </c>
      <c r="L200" s="456">
        <f t="shared" si="401"/>
        <v>0</v>
      </c>
      <c r="M200" s="576">
        <f t="shared" si="401"/>
        <v>0</v>
      </c>
      <c r="N200" s="357">
        <f t="shared" si="409"/>
        <v>120000</v>
      </c>
      <c r="O200" s="456">
        <f t="shared" si="403"/>
        <v>2</v>
      </c>
      <c r="P200" s="537">
        <f t="shared" si="410"/>
        <v>60000</v>
      </c>
      <c r="Q200" s="456">
        <f t="shared" ref="Q200:AB200" si="413">$P200*Q369</f>
        <v>0</v>
      </c>
      <c r="R200" s="456">
        <f t="shared" si="413"/>
        <v>0</v>
      </c>
      <c r="S200" s="456">
        <f t="shared" si="413"/>
        <v>60000</v>
      </c>
      <c r="T200" s="456">
        <f t="shared" si="413"/>
        <v>0</v>
      </c>
      <c r="U200" s="456">
        <f t="shared" si="413"/>
        <v>0</v>
      </c>
      <c r="V200" s="456">
        <f t="shared" si="413"/>
        <v>0</v>
      </c>
      <c r="W200" s="456">
        <f t="shared" si="413"/>
        <v>0</v>
      </c>
      <c r="X200" s="456">
        <f t="shared" si="413"/>
        <v>0</v>
      </c>
      <c r="Y200" s="456">
        <f t="shared" si="413"/>
        <v>0</v>
      </c>
      <c r="Z200" s="456">
        <f t="shared" si="413"/>
        <v>0</v>
      </c>
      <c r="AA200" s="456">
        <f t="shared" si="413"/>
        <v>0</v>
      </c>
      <c r="AB200" s="576">
        <f t="shared" si="413"/>
        <v>60000</v>
      </c>
      <c r="AC200" s="595"/>
      <c r="AD200" s="595" t="str">
        <f t="shared" ca="1" si="406"/>
        <v>True</v>
      </c>
    </row>
    <row r="201" spans="1:42" s="25" customFormat="1" ht="15">
      <c r="A201" s="331"/>
      <c r="B201" s="453"/>
      <c r="C201" s="497"/>
      <c r="D201" s="314"/>
      <c r="E201" s="357"/>
      <c r="F201" s="51"/>
      <c r="G201" s="507"/>
      <c r="H201" s="51"/>
      <c r="I201" s="51"/>
      <c r="J201" s="51"/>
      <c r="K201" s="51"/>
      <c r="L201" s="51"/>
      <c r="M201" s="368"/>
      <c r="N201" s="523"/>
      <c r="O201" s="544"/>
      <c r="P201" s="536"/>
      <c r="Q201" s="352"/>
      <c r="R201" s="352"/>
      <c r="S201" s="348"/>
      <c r="T201" s="48"/>
      <c r="U201" s="48"/>
      <c r="V201" s="48"/>
      <c r="W201" s="48"/>
      <c r="X201" s="48"/>
      <c r="Y201" s="48"/>
      <c r="Z201" s="48"/>
      <c r="AA201" s="48"/>
      <c r="AB201" s="372"/>
      <c r="AC201" s="595"/>
      <c r="AD201" s="595" t="str">
        <f t="shared" si="406"/>
        <v>True</v>
      </c>
    </row>
    <row r="202" spans="1:42" s="25" customFormat="1" ht="15">
      <c r="A202" s="331"/>
      <c r="B202" s="453"/>
      <c r="C202" s="499" t="s">
        <v>234</v>
      </c>
      <c r="D202" s="343"/>
      <c r="E202" s="370">
        <f ca="1">SUM(E198:E200)</f>
        <v>0</v>
      </c>
      <c r="F202" s="501"/>
      <c r="G202" s="525"/>
      <c r="H202" s="530">
        <f>SUM(H198:H201)</f>
        <v>0</v>
      </c>
      <c r="I202" s="530">
        <f>SUM(I198:I201)</f>
        <v>0</v>
      </c>
      <c r="J202" s="530">
        <f t="shared" ref="J202:L202" ca="1" si="414">SUM(J198:J201)</f>
        <v>0</v>
      </c>
      <c r="K202" s="530">
        <f t="shared" si="414"/>
        <v>0</v>
      </c>
      <c r="L202" s="530">
        <f t="shared" si="414"/>
        <v>0</v>
      </c>
      <c r="M202" s="577">
        <f>SUM(M198:M201)</f>
        <v>0</v>
      </c>
      <c r="N202" s="370">
        <f>SUM(N198:N200)</f>
        <v>164000</v>
      </c>
      <c r="O202" s="545"/>
      <c r="P202" s="546"/>
      <c r="Q202" s="582">
        <f t="shared" ref="Q202" si="415">SUM(Q198:Q201)</f>
        <v>1000</v>
      </c>
      <c r="R202" s="582">
        <f t="shared" ref="R202" si="416">SUM(R198:R201)</f>
        <v>0</v>
      </c>
      <c r="S202" s="583">
        <f t="shared" ref="S202" si="417">SUM(S198:S201)</f>
        <v>101000</v>
      </c>
      <c r="T202" s="530">
        <f t="shared" ref="T202" si="418">SUM(T198:T201)</f>
        <v>0</v>
      </c>
      <c r="U202" s="530">
        <f t="shared" ref="U202" si="419">SUM(U198:U201)</f>
        <v>0</v>
      </c>
      <c r="V202" s="530">
        <f t="shared" ref="V202" si="420">SUM(V198:V201)</f>
        <v>1000</v>
      </c>
      <c r="W202" s="530">
        <f t="shared" ref="W202" si="421">SUM(W198:W201)</f>
        <v>0</v>
      </c>
      <c r="X202" s="530">
        <f t="shared" ref="X202" si="422">SUM(X198:X201)</f>
        <v>0</v>
      </c>
      <c r="Y202" s="530">
        <f t="shared" ref="Y202" si="423">SUM(Y198:Y201)</f>
        <v>0</v>
      </c>
      <c r="Z202" s="530">
        <f t="shared" ref="Z202" si="424">SUM(Z198:Z201)</f>
        <v>0</v>
      </c>
      <c r="AA202" s="530">
        <f t="shared" ref="AA202" si="425">SUM(AA198:AA201)</f>
        <v>0</v>
      </c>
      <c r="AB202" s="577">
        <f t="shared" ref="AB202" si="426">SUM(AB198:AB201)</f>
        <v>61000</v>
      </c>
      <c r="AC202" s="595"/>
      <c r="AD202" s="595"/>
    </row>
    <row r="203" spans="1:42" s="25" customFormat="1">
      <c r="B203" s="453"/>
      <c r="AC203" s="595"/>
      <c r="AD203" s="595"/>
    </row>
    <row r="204" spans="1:42" s="25" customFormat="1" ht="13.5" thickBot="1">
      <c r="B204" s="453"/>
      <c r="C204" s="26" t="s">
        <v>1660</v>
      </c>
      <c r="H204" s="671">
        <f t="shared" ref="H204:AB204" si="427">SUM(H$36:H$38,H$52,H$58,H$96,H$146,H$165,H$183,H$195,H$202)</f>
        <v>0</v>
      </c>
      <c r="I204" s="671">
        <f t="shared" si="427"/>
        <v>0</v>
      </c>
      <c r="J204" s="671">
        <f t="shared" ca="1" si="427"/>
        <v>3955255</v>
      </c>
      <c r="K204" s="671">
        <f t="shared" si="427"/>
        <v>12000</v>
      </c>
      <c r="L204" s="671">
        <f t="shared" si="427"/>
        <v>23000</v>
      </c>
      <c r="M204" s="671">
        <f t="shared" si="427"/>
        <v>17101</v>
      </c>
      <c r="N204" s="671">
        <f t="shared" ca="1" si="427"/>
        <v>3236346</v>
      </c>
      <c r="O204" s="671">
        <f t="shared" si="427"/>
        <v>0</v>
      </c>
      <c r="P204" s="671">
        <f t="shared" si="427"/>
        <v>1200</v>
      </c>
      <c r="Q204" s="671">
        <f t="shared" ca="1" si="427"/>
        <v>323195</v>
      </c>
      <c r="R204" s="671">
        <f t="shared" si="427"/>
        <v>73799</v>
      </c>
      <c r="S204" s="671">
        <f t="shared" si="427"/>
        <v>1289932</v>
      </c>
      <c r="T204" s="671">
        <f t="shared" si="427"/>
        <v>0</v>
      </c>
      <c r="U204" s="671">
        <f t="shared" si="427"/>
        <v>3500</v>
      </c>
      <c r="V204" s="671">
        <f t="shared" si="427"/>
        <v>773050</v>
      </c>
      <c r="W204" s="671">
        <f t="shared" si="427"/>
        <v>0</v>
      </c>
      <c r="X204" s="671">
        <f t="shared" si="427"/>
        <v>0</v>
      </c>
      <c r="Y204" s="671">
        <f t="shared" si="427"/>
        <v>0</v>
      </c>
      <c r="Z204" s="671">
        <f t="shared" si="427"/>
        <v>0</v>
      </c>
      <c r="AA204" s="671">
        <f t="shared" si="427"/>
        <v>0</v>
      </c>
      <c r="AB204" s="671">
        <f t="shared" si="427"/>
        <v>772870</v>
      </c>
      <c r="AC204" s="595"/>
      <c r="AD204" s="595"/>
    </row>
    <row r="205" spans="1:42" s="25" customFormat="1" ht="13.5" thickTop="1">
      <c r="B205" s="453"/>
      <c r="AC205" s="595"/>
      <c r="AD205" s="595"/>
    </row>
    <row r="206" spans="1:42">
      <c r="A206" s="331"/>
      <c r="C206" s="25"/>
      <c r="D206" s="25"/>
      <c r="E206" s="25"/>
      <c r="F206" s="25"/>
      <c r="G206" s="216"/>
      <c r="H206" s="332"/>
      <c r="I206" s="332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V206" s="25"/>
      <c r="W206" s="25"/>
      <c r="X206" s="25"/>
      <c r="Y206" s="25"/>
      <c r="Z206" s="25"/>
      <c r="AA206" s="25"/>
      <c r="AB206" s="25"/>
      <c r="AC206" s="595"/>
      <c r="AD206" s="595"/>
      <c r="AE206" s="25"/>
      <c r="AF206" s="25"/>
      <c r="AG206" s="25"/>
      <c r="AH206" s="25"/>
      <c r="AI206" s="25"/>
      <c r="AJ206" s="25"/>
      <c r="AK206" s="25"/>
      <c r="AL206" s="25"/>
      <c r="AM206" s="25"/>
      <c r="AN206" s="25"/>
      <c r="AO206" s="25"/>
      <c r="AP206" s="25"/>
    </row>
    <row r="207" spans="1:42" s="844" customFormat="1" ht="18.75">
      <c r="A207" s="839"/>
      <c r="B207" s="852"/>
      <c r="C207" s="840" t="s">
        <v>1646</v>
      </c>
      <c r="D207" s="841"/>
      <c r="E207" s="908"/>
      <c r="F207" s="908"/>
      <c r="G207" s="908"/>
      <c r="H207" s="908"/>
      <c r="I207" s="908"/>
      <c r="J207" s="908"/>
      <c r="K207" s="908"/>
      <c r="L207" s="908"/>
      <c r="M207" s="909"/>
      <c r="N207" s="907"/>
      <c r="O207" s="908"/>
      <c r="P207" s="908"/>
      <c r="Q207" s="908"/>
      <c r="R207" s="908"/>
      <c r="S207" s="908"/>
      <c r="T207" s="908"/>
      <c r="U207" s="908"/>
      <c r="V207" s="908"/>
      <c r="W207" s="908"/>
      <c r="X207" s="908"/>
      <c r="Y207" s="908"/>
      <c r="Z207" s="908"/>
      <c r="AA207" s="908"/>
      <c r="AB207" s="909"/>
      <c r="AC207" s="842"/>
      <c r="AD207" s="842"/>
      <c r="AE207" s="843"/>
      <c r="AF207" s="843"/>
      <c r="AG207" s="843"/>
      <c r="AH207" s="843"/>
      <c r="AI207" s="843"/>
      <c r="AJ207" s="843"/>
      <c r="AK207" s="843"/>
      <c r="AL207" s="843"/>
      <c r="AM207" s="843"/>
      <c r="AN207" s="843"/>
      <c r="AO207" s="843"/>
      <c r="AP207" s="843"/>
    </row>
    <row r="208" spans="1:42" s="48" customFormat="1">
      <c r="A208" s="511"/>
      <c r="B208" s="641"/>
      <c r="D208" s="314"/>
      <c r="E208" s="456"/>
      <c r="F208" s="51"/>
      <c r="G208" s="512"/>
      <c r="H208" s="51"/>
      <c r="I208" s="51"/>
      <c r="J208" s="51"/>
      <c r="K208" s="51"/>
      <c r="L208" s="51"/>
      <c r="M208" s="51"/>
      <c r="O208" s="521"/>
      <c r="AC208" s="597"/>
      <c r="AD208" s="597"/>
    </row>
    <row r="209" spans="1:42" s="25" customFormat="1" ht="15">
      <c r="A209" s="331"/>
      <c r="B209" s="453"/>
      <c r="C209" s="534" t="s">
        <v>1582</v>
      </c>
      <c r="D209" s="496"/>
      <c r="E209" s="363"/>
      <c r="F209" s="364"/>
      <c r="G209" s="505"/>
      <c r="H209" s="364"/>
      <c r="I209" s="364"/>
      <c r="J209" s="364"/>
      <c r="K209" s="364"/>
      <c r="L209" s="364"/>
      <c r="M209" s="365"/>
      <c r="N209" s="522"/>
      <c r="O209" s="542"/>
      <c r="P209" s="535"/>
      <c r="Q209" s="514"/>
      <c r="R209" s="514"/>
      <c r="S209" s="515"/>
      <c r="T209" s="455"/>
      <c r="U209" s="455"/>
      <c r="V209" s="455"/>
      <c r="W209" s="455"/>
      <c r="X209" s="455"/>
      <c r="Y209" s="455"/>
      <c r="Z209" s="455"/>
      <c r="AA209" s="455"/>
      <c r="AB209" s="516"/>
      <c r="AC209" s="595"/>
      <c r="AD209" s="595"/>
    </row>
    <row r="210" spans="1:42">
      <c r="A210" s="331"/>
      <c r="B210" s="453" t="s">
        <v>1698</v>
      </c>
      <c r="C210" s="47" t="s">
        <v>1697</v>
      </c>
      <c r="D210" s="314"/>
      <c r="E210" s="357">
        <f>F210*G210</f>
        <v>100</v>
      </c>
      <c r="F210" s="51">
        <f>SUM(H210:M210)</f>
        <v>2</v>
      </c>
      <c r="G210" s="508">
        <v>50</v>
      </c>
      <c r="H210" s="359">
        <v>0</v>
      </c>
      <c r="I210" s="359">
        <v>0</v>
      </c>
      <c r="J210" s="359">
        <f>SUMIF('List of equipment'!$O$376:$O$439,'List of equipment'!O376,'List of equipment'!$Q$376:$Q$439)</f>
        <v>2</v>
      </c>
      <c r="K210" s="359">
        <v>0</v>
      </c>
      <c r="L210" s="359">
        <v>0</v>
      </c>
      <c r="M210" s="360">
        <v>0</v>
      </c>
      <c r="N210" s="357">
        <f>O210*P210</f>
        <v>0</v>
      </c>
      <c r="O210" s="521">
        <f>SUM(Q210:AB210)</f>
        <v>0</v>
      </c>
      <c r="P210" s="537">
        <f>G210</f>
        <v>50</v>
      </c>
      <c r="Q210" s="359">
        <v>0</v>
      </c>
      <c r="R210" s="359">
        <f>Q210</f>
        <v>0</v>
      </c>
      <c r="S210" s="359">
        <f t="shared" ref="S210:AA210" si="428">R210</f>
        <v>0</v>
      </c>
      <c r="T210" s="359">
        <f t="shared" si="428"/>
        <v>0</v>
      </c>
      <c r="U210" s="359">
        <f t="shared" si="428"/>
        <v>0</v>
      </c>
      <c r="V210" s="359">
        <f t="shared" si="428"/>
        <v>0</v>
      </c>
      <c r="W210" s="359">
        <f t="shared" si="428"/>
        <v>0</v>
      </c>
      <c r="X210" s="359">
        <f t="shared" si="428"/>
        <v>0</v>
      </c>
      <c r="Y210" s="359">
        <f t="shared" si="428"/>
        <v>0</v>
      </c>
      <c r="Z210" s="359">
        <f t="shared" si="428"/>
        <v>0</v>
      </c>
      <c r="AA210" s="359">
        <f t="shared" si="428"/>
        <v>0</v>
      </c>
      <c r="AB210" s="360">
        <f>AA210</f>
        <v>0</v>
      </c>
      <c r="AC210" s="595"/>
      <c r="AD210" s="595"/>
      <c r="AE210" s="25"/>
      <c r="AF210" s="25"/>
      <c r="AG210" s="25"/>
      <c r="AH210" s="25"/>
      <c r="AI210" s="25"/>
      <c r="AJ210" s="25"/>
      <c r="AK210" s="25"/>
      <c r="AL210" s="25"/>
      <c r="AM210" s="25"/>
      <c r="AN210" s="25"/>
      <c r="AO210" s="25"/>
      <c r="AP210" s="25"/>
    </row>
    <row r="211" spans="1:42">
      <c r="A211" s="331"/>
      <c r="C211" s="47" t="s">
        <v>1626</v>
      </c>
      <c r="D211" s="314"/>
      <c r="E211" s="357">
        <f t="shared" ref="E211:E218" si="429">F211*G211</f>
        <v>350</v>
      </c>
      <c r="F211" s="51">
        <f t="shared" ref="F211:F218" si="430">SUM(H211:M211)</f>
        <v>1</v>
      </c>
      <c r="G211" s="508">
        <f>7000/20</f>
        <v>350</v>
      </c>
      <c r="H211" s="359">
        <v>0</v>
      </c>
      <c r="I211" s="359">
        <v>0</v>
      </c>
      <c r="J211" s="359">
        <f>SUMIF('List of equipment'!$O$376:$O$439,'List of equipment'!O387,'List of equipment'!$Q$376:$Q$439)</f>
        <v>1</v>
      </c>
      <c r="K211" s="359">
        <v>0</v>
      </c>
      <c r="L211" s="359">
        <v>0</v>
      </c>
      <c r="M211" s="360">
        <v>0</v>
      </c>
      <c r="N211" s="357">
        <f t="shared" ref="N211:N218" si="431">O211*P211</f>
        <v>0</v>
      </c>
      <c r="O211" s="521">
        <f t="shared" ref="O211:O218" si="432">SUM(Q211:AB211)</f>
        <v>0</v>
      </c>
      <c r="P211" s="537">
        <f t="shared" ref="P211:P218" si="433">G211</f>
        <v>350</v>
      </c>
      <c r="Q211" s="359">
        <v>0</v>
      </c>
      <c r="R211" s="359">
        <f t="shared" ref="R211:AB211" si="434">Q211</f>
        <v>0</v>
      </c>
      <c r="S211" s="359">
        <f t="shared" si="434"/>
        <v>0</v>
      </c>
      <c r="T211" s="359">
        <f t="shared" si="434"/>
        <v>0</v>
      </c>
      <c r="U211" s="359">
        <f t="shared" si="434"/>
        <v>0</v>
      </c>
      <c r="V211" s="359">
        <f t="shared" si="434"/>
        <v>0</v>
      </c>
      <c r="W211" s="359">
        <f t="shared" si="434"/>
        <v>0</v>
      </c>
      <c r="X211" s="359">
        <f t="shared" si="434"/>
        <v>0</v>
      </c>
      <c r="Y211" s="359">
        <f t="shared" si="434"/>
        <v>0</v>
      </c>
      <c r="Z211" s="359">
        <f t="shared" si="434"/>
        <v>0</v>
      </c>
      <c r="AA211" s="359">
        <f t="shared" si="434"/>
        <v>0</v>
      </c>
      <c r="AB211" s="360">
        <f t="shared" si="434"/>
        <v>0</v>
      </c>
      <c r="AC211" s="595"/>
      <c r="AD211" s="595"/>
      <c r="AE211" s="25"/>
      <c r="AF211" s="25"/>
      <c r="AG211" s="25"/>
      <c r="AH211" s="25"/>
      <c r="AI211" s="25"/>
      <c r="AJ211" s="25"/>
      <c r="AK211" s="25"/>
      <c r="AL211" s="25"/>
      <c r="AM211" s="25"/>
      <c r="AN211" s="25"/>
      <c r="AO211" s="25"/>
      <c r="AP211" s="25"/>
    </row>
    <row r="212" spans="1:42">
      <c r="A212" s="331"/>
      <c r="C212" s="47" t="s">
        <v>1621</v>
      </c>
      <c r="D212" s="314"/>
      <c r="E212" s="357">
        <f t="shared" si="429"/>
        <v>200</v>
      </c>
      <c r="F212" s="51">
        <f t="shared" si="430"/>
        <v>1</v>
      </c>
      <c r="G212" s="508">
        <v>200</v>
      </c>
      <c r="H212" s="359">
        <v>0</v>
      </c>
      <c r="I212" s="359">
        <v>0</v>
      </c>
      <c r="J212" s="359">
        <v>1</v>
      </c>
      <c r="K212" s="359">
        <v>0</v>
      </c>
      <c r="L212" s="359">
        <v>0</v>
      </c>
      <c r="M212" s="360">
        <v>0</v>
      </c>
      <c r="N212" s="357">
        <f t="shared" si="431"/>
        <v>0</v>
      </c>
      <c r="O212" s="521">
        <f t="shared" si="432"/>
        <v>0</v>
      </c>
      <c r="P212" s="537">
        <f t="shared" si="433"/>
        <v>200</v>
      </c>
      <c r="Q212" s="359">
        <v>0</v>
      </c>
      <c r="R212" s="359">
        <f t="shared" ref="R212:AB212" si="435">Q212</f>
        <v>0</v>
      </c>
      <c r="S212" s="359">
        <f t="shared" si="435"/>
        <v>0</v>
      </c>
      <c r="T212" s="359">
        <f t="shared" si="435"/>
        <v>0</v>
      </c>
      <c r="U212" s="359">
        <f t="shared" si="435"/>
        <v>0</v>
      </c>
      <c r="V212" s="359">
        <f t="shared" si="435"/>
        <v>0</v>
      </c>
      <c r="W212" s="359">
        <f t="shared" si="435"/>
        <v>0</v>
      </c>
      <c r="X212" s="359">
        <f t="shared" si="435"/>
        <v>0</v>
      </c>
      <c r="Y212" s="359">
        <f t="shared" si="435"/>
        <v>0</v>
      </c>
      <c r="Z212" s="359">
        <f t="shared" si="435"/>
        <v>0</v>
      </c>
      <c r="AA212" s="359">
        <f t="shared" si="435"/>
        <v>0</v>
      </c>
      <c r="AB212" s="360">
        <f t="shared" si="435"/>
        <v>0</v>
      </c>
      <c r="AC212" s="595"/>
      <c r="AD212" s="595"/>
      <c r="AE212" s="25"/>
      <c r="AF212" s="25"/>
      <c r="AG212" s="25"/>
      <c r="AH212" s="25"/>
      <c r="AI212" s="25"/>
      <c r="AJ212" s="25"/>
      <c r="AK212" s="25"/>
      <c r="AL212" s="25"/>
      <c r="AM212" s="25"/>
      <c r="AN212" s="25"/>
      <c r="AO212" s="25"/>
      <c r="AP212" s="25"/>
    </row>
    <row r="213" spans="1:42">
      <c r="A213" s="331"/>
      <c r="C213" s="47" t="s">
        <v>1682</v>
      </c>
      <c r="D213" s="314"/>
      <c r="E213" s="357">
        <f t="shared" si="429"/>
        <v>100</v>
      </c>
      <c r="F213" s="51">
        <f t="shared" si="430"/>
        <v>1</v>
      </c>
      <c r="G213" s="508">
        <v>100</v>
      </c>
      <c r="H213" s="359">
        <v>0</v>
      </c>
      <c r="I213" s="359">
        <v>0</v>
      </c>
      <c r="J213" s="359">
        <v>1</v>
      </c>
      <c r="K213" s="359">
        <v>0</v>
      </c>
      <c r="L213" s="359">
        <v>0</v>
      </c>
      <c r="M213" s="360">
        <v>0</v>
      </c>
      <c r="N213" s="357">
        <f t="shared" si="431"/>
        <v>0</v>
      </c>
      <c r="O213" s="521">
        <f t="shared" si="432"/>
        <v>0</v>
      </c>
      <c r="P213" s="537">
        <f t="shared" si="433"/>
        <v>100</v>
      </c>
      <c r="Q213" s="359">
        <v>0</v>
      </c>
      <c r="R213" s="359">
        <f t="shared" ref="R213:AB213" si="436">Q213</f>
        <v>0</v>
      </c>
      <c r="S213" s="359">
        <f t="shared" si="436"/>
        <v>0</v>
      </c>
      <c r="T213" s="359">
        <f t="shared" si="436"/>
        <v>0</v>
      </c>
      <c r="U213" s="359">
        <f t="shared" si="436"/>
        <v>0</v>
      </c>
      <c r="V213" s="359">
        <f t="shared" si="436"/>
        <v>0</v>
      </c>
      <c r="W213" s="359">
        <f t="shared" si="436"/>
        <v>0</v>
      </c>
      <c r="X213" s="359">
        <f t="shared" si="436"/>
        <v>0</v>
      </c>
      <c r="Y213" s="359">
        <f t="shared" si="436"/>
        <v>0</v>
      </c>
      <c r="Z213" s="359">
        <f t="shared" si="436"/>
        <v>0</v>
      </c>
      <c r="AA213" s="359">
        <f t="shared" si="436"/>
        <v>0</v>
      </c>
      <c r="AB213" s="360">
        <f t="shared" si="436"/>
        <v>0</v>
      </c>
      <c r="AC213" s="595"/>
      <c r="AD213" s="595"/>
      <c r="AE213" s="25"/>
      <c r="AF213" s="25"/>
      <c r="AG213" s="25"/>
      <c r="AH213" s="25"/>
      <c r="AI213" s="25"/>
      <c r="AJ213" s="25"/>
      <c r="AK213" s="25"/>
      <c r="AL213" s="25"/>
      <c r="AM213" s="25"/>
      <c r="AN213" s="25"/>
      <c r="AO213" s="25"/>
      <c r="AP213" s="25"/>
    </row>
    <row r="214" spans="1:42">
      <c r="A214" s="331"/>
      <c r="C214" s="47" t="s">
        <v>1627</v>
      </c>
      <c r="D214" s="314"/>
      <c r="E214" s="357">
        <f t="shared" si="429"/>
        <v>200</v>
      </c>
      <c r="F214" s="51">
        <f t="shared" si="430"/>
        <v>2</v>
      </c>
      <c r="G214" s="508">
        <v>100</v>
      </c>
      <c r="H214" s="359">
        <v>0</v>
      </c>
      <c r="I214" s="359">
        <v>0</v>
      </c>
      <c r="J214" s="359">
        <f>SUMIF('List of equipment'!$O$376:$O$439,'List of equipment'!O412,'List of equipment'!$Q$376:$Q$439)</f>
        <v>2</v>
      </c>
      <c r="K214" s="359">
        <v>0</v>
      </c>
      <c r="L214" s="359">
        <v>0</v>
      </c>
      <c r="M214" s="360">
        <v>0</v>
      </c>
      <c r="N214" s="357">
        <f t="shared" si="431"/>
        <v>0</v>
      </c>
      <c r="O214" s="521">
        <f t="shared" si="432"/>
        <v>0</v>
      </c>
      <c r="P214" s="537">
        <f t="shared" si="433"/>
        <v>100</v>
      </c>
      <c r="Q214" s="359">
        <v>0</v>
      </c>
      <c r="R214" s="359">
        <f t="shared" ref="R214:AB214" si="437">Q214</f>
        <v>0</v>
      </c>
      <c r="S214" s="359">
        <f t="shared" si="437"/>
        <v>0</v>
      </c>
      <c r="T214" s="359">
        <f t="shared" si="437"/>
        <v>0</v>
      </c>
      <c r="U214" s="359">
        <f t="shared" si="437"/>
        <v>0</v>
      </c>
      <c r="V214" s="359">
        <f t="shared" si="437"/>
        <v>0</v>
      </c>
      <c r="W214" s="359">
        <f t="shared" si="437"/>
        <v>0</v>
      </c>
      <c r="X214" s="359">
        <f t="shared" si="437"/>
        <v>0</v>
      </c>
      <c r="Y214" s="359">
        <f t="shared" si="437"/>
        <v>0</v>
      </c>
      <c r="Z214" s="359">
        <f t="shared" si="437"/>
        <v>0</v>
      </c>
      <c r="AA214" s="359">
        <f t="shared" si="437"/>
        <v>0</v>
      </c>
      <c r="AB214" s="360">
        <f t="shared" si="437"/>
        <v>0</v>
      </c>
      <c r="AC214" s="595"/>
      <c r="AD214" s="595"/>
      <c r="AE214" s="25"/>
      <c r="AF214" s="25"/>
      <c r="AG214" s="25"/>
      <c r="AH214" s="25"/>
      <c r="AI214" s="25"/>
      <c r="AJ214" s="25"/>
      <c r="AK214" s="25"/>
      <c r="AL214" s="25"/>
      <c r="AM214" s="25"/>
      <c r="AN214" s="25"/>
      <c r="AO214" s="25"/>
      <c r="AP214" s="25"/>
    </row>
    <row r="215" spans="1:42">
      <c r="A215" s="331"/>
      <c r="B215" s="453" t="s">
        <v>1700</v>
      </c>
      <c r="C215" s="47" t="s">
        <v>1699</v>
      </c>
      <c r="D215" s="314"/>
      <c r="E215" s="357">
        <f t="shared" si="429"/>
        <v>5000</v>
      </c>
      <c r="F215" s="51">
        <f t="shared" si="430"/>
        <v>1</v>
      </c>
      <c r="G215" s="508">
        <v>5000</v>
      </c>
      <c r="H215" s="359">
        <v>0</v>
      </c>
      <c r="I215" s="359">
        <v>0</v>
      </c>
      <c r="J215" s="359">
        <f>SUMIF('List of equipment'!$O$376:$O$439,'List of equipment'!O434,'List of equipment'!$Q$376:$Q$439)</f>
        <v>1</v>
      </c>
      <c r="K215" s="359">
        <v>0</v>
      </c>
      <c r="L215" s="359">
        <v>0</v>
      </c>
      <c r="M215" s="360">
        <v>0</v>
      </c>
      <c r="N215" s="357">
        <f t="shared" si="431"/>
        <v>0</v>
      </c>
      <c r="O215" s="521">
        <f t="shared" si="432"/>
        <v>0</v>
      </c>
      <c r="P215" s="537">
        <f t="shared" si="433"/>
        <v>5000</v>
      </c>
      <c r="Q215" s="359">
        <v>0</v>
      </c>
      <c r="R215" s="359">
        <f t="shared" ref="R215:AB215" si="438">Q215</f>
        <v>0</v>
      </c>
      <c r="S215" s="359">
        <f t="shared" si="438"/>
        <v>0</v>
      </c>
      <c r="T215" s="359">
        <f t="shared" si="438"/>
        <v>0</v>
      </c>
      <c r="U215" s="359">
        <f t="shared" si="438"/>
        <v>0</v>
      </c>
      <c r="V215" s="359">
        <f t="shared" si="438"/>
        <v>0</v>
      </c>
      <c r="W215" s="359">
        <f t="shared" si="438"/>
        <v>0</v>
      </c>
      <c r="X215" s="359">
        <f t="shared" si="438"/>
        <v>0</v>
      </c>
      <c r="Y215" s="359">
        <f t="shared" si="438"/>
        <v>0</v>
      </c>
      <c r="Z215" s="359">
        <f t="shared" si="438"/>
        <v>0</v>
      </c>
      <c r="AA215" s="359">
        <f t="shared" si="438"/>
        <v>0</v>
      </c>
      <c r="AB215" s="360">
        <f t="shared" si="438"/>
        <v>0</v>
      </c>
      <c r="AC215" s="595"/>
      <c r="AD215" s="595"/>
      <c r="AE215" s="25"/>
      <c r="AF215" s="25"/>
      <c r="AG215" s="25"/>
      <c r="AH215" s="25"/>
      <c r="AI215" s="25"/>
      <c r="AJ215" s="25"/>
      <c r="AK215" s="25"/>
      <c r="AL215" s="25"/>
      <c r="AM215" s="25"/>
      <c r="AN215" s="25"/>
      <c r="AO215" s="25"/>
      <c r="AP215" s="25"/>
    </row>
    <row r="216" spans="1:42">
      <c r="A216" s="331"/>
      <c r="B216" s="453" t="s">
        <v>1702</v>
      </c>
      <c r="C216" s="47" t="s">
        <v>1701</v>
      </c>
      <c r="D216" s="314"/>
      <c r="E216" s="357">
        <f t="shared" si="429"/>
        <v>8000</v>
      </c>
      <c r="F216" s="51">
        <f t="shared" si="430"/>
        <v>1</v>
      </c>
      <c r="G216" s="508">
        <f>160000/20</f>
        <v>8000</v>
      </c>
      <c r="H216" s="359">
        <v>0</v>
      </c>
      <c r="I216" s="359">
        <v>0</v>
      </c>
      <c r="J216" s="359">
        <v>1</v>
      </c>
      <c r="K216" s="359">
        <v>0</v>
      </c>
      <c r="L216" s="359">
        <v>0</v>
      </c>
      <c r="M216" s="360">
        <v>0</v>
      </c>
      <c r="N216" s="357">
        <f t="shared" si="431"/>
        <v>0</v>
      </c>
      <c r="O216" s="521">
        <f t="shared" si="432"/>
        <v>0</v>
      </c>
      <c r="P216" s="537">
        <f t="shared" si="433"/>
        <v>8000</v>
      </c>
      <c r="Q216" s="359">
        <v>0</v>
      </c>
      <c r="R216" s="359">
        <f t="shared" ref="R216:AB216" si="439">Q216</f>
        <v>0</v>
      </c>
      <c r="S216" s="359">
        <f t="shared" si="439"/>
        <v>0</v>
      </c>
      <c r="T216" s="359">
        <f t="shared" si="439"/>
        <v>0</v>
      </c>
      <c r="U216" s="359">
        <f t="shared" si="439"/>
        <v>0</v>
      </c>
      <c r="V216" s="359">
        <f t="shared" si="439"/>
        <v>0</v>
      </c>
      <c r="W216" s="359">
        <f t="shared" si="439"/>
        <v>0</v>
      </c>
      <c r="X216" s="359">
        <f t="shared" si="439"/>
        <v>0</v>
      </c>
      <c r="Y216" s="359">
        <f t="shared" si="439"/>
        <v>0</v>
      </c>
      <c r="Z216" s="359">
        <f t="shared" si="439"/>
        <v>0</v>
      </c>
      <c r="AA216" s="359">
        <f t="shared" si="439"/>
        <v>0</v>
      </c>
      <c r="AB216" s="360">
        <f t="shared" si="439"/>
        <v>0</v>
      </c>
      <c r="AC216" s="595"/>
      <c r="AD216" s="595"/>
      <c r="AE216" s="25"/>
      <c r="AF216" s="25"/>
      <c r="AG216" s="25"/>
      <c r="AH216" s="25"/>
      <c r="AI216" s="25"/>
      <c r="AJ216" s="25"/>
      <c r="AK216" s="25"/>
      <c r="AL216" s="25"/>
      <c r="AM216" s="25"/>
      <c r="AN216" s="25"/>
      <c r="AO216" s="25"/>
      <c r="AP216" s="25"/>
    </row>
    <row r="217" spans="1:42">
      <c r="A217" s="331"/>
      <c r="B217" s="453" t="s">
        <v>1704</v>
      </c>
      <c r="C217" s="47" t="s">
        <v>1703</v>
      </c>
      <c r="D217" s="314"/>
      <c r="E217" s="357">
        <f t="shared" si="429"/>
        <v>1100</v>
      </c>
      <c r="F217" s="51">
        <f t="shared" si="430"/>
        <v>1</v>
      </c>
      <c r="G217" s="508">
        <v>1100</v>
      </c>
      <c r="H217" s="359">
        <v>0</v>
      </c>
      <c r="I217" s="359">
        <v>0</v>
      </c>
      <c r="J217" s="359">
        <v>1</v>
      </c>
      <c r="K217" s="359">
        <v>0</v>
      </c>
      <c r="L217" s="359">
        <v>0</v>
      </c>
      <c r="M217" s="360">
        <v>0</v>
      </c>
      <c r="N217" s="357">
        <f t="shared" si="431"/>
        <v>0</v>
      </c>
      <c r="O217" s="521">
        <f t="shared" si="432"/>
        <v>0</v>
      </c>
      <c r="P217" s="537">
        <f t="shared" si="433"/>
        <v>1100</v>
      </c>
      <c r="Q217" s="359">
        <v>0</v>
      </c>
      <c r="R217" s="359">
        <f t="shared" ref="R217:AB217" si="440">Q217</f>
        <v>0</v>
      </c>
      <c r="S217" s="359">
        <f t="shared" si="440"/>
        <v>0</v>
      </c>
      <c r="T217" s="359">
        <f t="shared" si="440"/>
        <v>0</v>
      </c>
      <c r="U217" s="359">
        <f t="shared" si="440"/>
        <v>0</v>
      </c>
      <c r="V217" s="359">
        <f t="shared" si="440"/>
        <v>0</v>
      </c>
      <c r="W217" s="359">
        <f t="shared" si="440"/>
        <v>0</v>
      </c>
      <c r="X217" s="359">
        <f t="shared" si="440"/>
        <v>0</v>
      </c>
      <c r="Y217" s="359">
        <f t="shared" si="440"/>
        <v>0</v>
      </c>
      <c r="Z217" s="359">
        <f t="shared" si="440"/>
        <v>0</v>
      </c>
      <c r="AA217" s="359">
        <f t="shared" si="440"/>
        <v>0</v>
      </c>
      <c r="AB217" s="360">
        <f t="shared" si="440"/>
        <v>0</v>
      </c>
      <c r="AC217" s="595"/>
      <c r="AD217" s="595"/>
      <c r="AE217" s="25"/>
      <c r="AF217" s="25"/>
      <c r="AG217" s="25"/>
      <c r="AH217" s="25"/>
      <c r="AI217" s="25"/>
      <c r="AJ217" s="25"/>
      <c r="AK217" s="25"/>
      <c r="AL217" s="25"/>
      <c r="AM217" s="25"/>
      <c r="AN217" s="25"/>
      <c r="AO217" s="25"/>
      <c r="AP217" s="25"/>
    </row>
    <row r="218" spans="1:42">
      <c r="A218" s="331"/>
      <c r="C218" s="47" t="s">
        <v>1649</v>
      </c>
      <c r="D218" s="314"/>
      <c r="E218" s="357">
        <f t="shared" si="429"/>
        <v>1000</v>
      </c>
      <c r="F218" s="51">
        <f t="shared" si="430"/>
        <v>1</v>
      </c>
      <c r="G218" s="508">
        <v>1000</v>
      </c>
      <c r="H218" s="359">
        <v>0</v>
      </c>
      <c r="I218" s="359">
        <v>0</v>
      </c>
      <c r="J218" s="359">
        <v>1</v>
      </c>
      <c r="K218" s="359">
        <v>0</v>
      </c>
      <c r="L218" s="359">
        <v>0</v>
      </c>
      <c r="M218" s="360">
        <v>0</v>
      </c>
      <c r="N218" s="357">
        <f t="shared" si="431"/>
        <v>0</v>
      </c>
      <c r="O218" s="521">
        <f t="shared" si="432"/>
        <v>0</v>
      </c>
      <c r="P218" s="537">
        <f t="shared" si="433"/>
        <v>1000</v>
      </c>
      <c r="Q218" s="359">
        <v>0</v>
      </c>
      <c r="R218" s="359">
        <f t="shared" ref="R218:AB218" si="441">Q218</f>
        <v>0</v>
      </c>
      <c r="S218" s="359">
        <f t="shared" si="441"/>
        <v>0</v>
      </c>
      <c r="T218" s="359">
        <f t="shared" si="441"/>
        <v>0</v>
      </c>
      <c r="U218" s="359">
        <f t="shared" si="441"/>
        <v>0</v>
      </c>
      <c r="V218" s="359">
        <f t="shared" si="441"/>
        <v>0</v>
      </c>
      <c r="W218" s="359">
        <f t="shared" si="441"/>
        <v>0</v>
      </c>
      <c r="X218" s="359">
        <f t="shared" si="441"/>
        <v>0</v>
      </c>
      <c r="Y218" s="359">
        <f t="shared" si="441"/>
        <v>0</v>
      </c>
      <c r="Z218" s="359">
        <f t="shared" si="441"/>
        <v>0</v>
      </c>
      <c r="AA218" s="359">
        <f t="shared" si="441"/>
        <v>0</v>
      </c>
      <c r="AB218" s="360">
        <f t="shared" si="441"/>
        <v>0</v>
      </c>
      <c r="AC218" s="595"/>
      <c r="AD218" s="595"/>
      <c r="AE218" s="25"/>
      <c r="AF218" s="25"/>
      <c r="AG218" s="25"/>
      <c r="AH218" s="25"/>
      <c r="AI218" s="25"/>
      <c r="AJ218" s="25"/>
      <c r="AK218" s="25"/>
      <c r="AL218" s="25"/>
      <c r="AM218" s="25"/>
      <c r="AN218" s="25"/>
      <c r="AO218" s="25"/>
      <c r="AP218" s="25"/>
    </row>
    <row r="219" spans="1:42" s="25" customFormat="1" ht="15">
      <c r="A219" s="331"/>
      <c r="B219" s="453"/>
      <c r="C219" s="497"/>
      <c r="D219" s="314"/>
      <c r="E219" s="357"/>
      <c r="F219" s="51"/>
      <c r="G219" s="507"/>
      <c r="H219" s="51"/>
      <c r="I219" s="51"/>
      <c r="J219" s="51"/>
      <c r="K219" s="51"/>
      <c r="L219" s="51"/>
      <c r="M219" s="368"/>
      <c r="N219" s="523"/>
      <c r="O219" s="544"/>
      <c r="P219" s="536"/>
      <c r="Q219" s="352"/>
      <c r="R219" s="352"/>
      <c r="S219" s="348"/>
      <c r="T219" s="48"/>
      <c r="U219" s="48"/>
      <c r="V219" s="48"/>
      <c r="W219" s="48"/>
      <c r="X219" s="48"/>
      <c r="Y219" s="48"/>
      <c r="Z219" s="48"/>
      <c r="AA219" s="48"/>
      <c r="AB219" s="372"/>
      <c r="AC219" s="595"/>
      <c r="AD219" s="595"/>
    </row>
    <row r="220" spans="1:42" ht="15">
      <c r="A220" s="331"/>
      <c r="C220" s="499" t="s">
        <v>234</v>
      </c>
      <c r="D220" s="343"/>
      <c r="E220" s="370">
        <f>SUM(E210:E218)</f>
        <v>16050</v>
      </c>
      <c r="F220" s="501"/>
      <c r="G220" s="500"/>
      <c r="H220" s="502"/>
      <c r="I220" s="502"/>
      <c r="J220" s="503"/>
      <c r="K220" s="503"/>
      <c r="L220" s="503"/>
      <c r="M220" s="504"/>
      <c r="N220" s="555">
        <f>SUM(N210:N218)</f>
        <v>0</v>
      </c>
      <c r="O220" s="545"/>
      <c r="P220" s="546"/>
      <c r="Q220" s="527">
        <f t="shared" ref="Q220:AB220" si="442">SUM(Q210:Q218)</f>
        <v>0</v>
      </c>
      <c r="R220" s="527">
        <f t="shared" si="442"/>
        <v>0</v>
      </c>
      <c r="S220" s="527">
        <f t="shared" si="442"/>
        <v>0</v>
      </c>
      <c r="T220" s="527">
        <f t="shared" si="442"/>
        <v>0</v>
      </c>
      <c r="U220" s="527">
        <f t="shared" si="442"/>
        <v>0</v>
      </c>
      <c r="V220" s="527">
        <f t="shared" si="442"/>
        <v>0</v>
      </c>
      <c r="W220" s="527">
        <f t="shared" si="442"/>
        <v>0</v>
      </c>
      <c r="X220" s="527">
        <f t="shared" si="442"/>
        <v>0</v>
      </c>
      <c r="Y220" s="527">
        <f t="shared" si="442"/>
        <v>0</v>
      </c>
      <c r="Z220" s="527">
        <f t="shared" si="442"/>
        <v>0</v>
      </c>
      <c r="AA220" s="527">
        <f t="shared" si="442"/>
        <v>0</v>
      </c>
      <c r="AB220" s="556">
        <f t="shared" si="442"/>
        <v>0</v>
      </c>
      <c r="AC220" s="595"/>
      <c r="AD220" s="595"/>
      <c r="AE220" s="25"/>
      <c r="AF220" s="25"/>
      <c r="AG220" s="25"/>
      <c r="AH220" s="25"/>
      <c r="AI220" s="25"/>
      <c r="AJ220" s="25"/>
      <c r="AK220" s="25"/>
      <c r="AL220" s="25"/>
      <c r="AM220" s="25"/>
      <c r="AN220" s="25"/>
      <c r="AO220" s="25"/>
      <c r="AP220" s="25"/>
    </row>
    <row r="221" spans="1:42" ht="15">
      <c r="A221" s="331"/>
      <c r="C221" s="314"/>
      <c r="D221" s="314"/>
      <c r="E221" s="550"/>
      <c r="F221" s="322"/>
      <c r="G221" s="548"/>
      <c r="H221" s="549"/>
      <c r="I221" s="549"/>
      <c r="J221" s="51"/>
      <c r="K221" s="51"/>
      <c r="L221" s="51"/>
      <c r="M221" s="51"/>
      <c r="N221" s="349"/>
      <c r="O221" s="350"/>
      <c r="P221" s="351"/>
      <c r="Q221" s="352"/>
      <c r="R221" s="352"/>
      <c r="S221" s="348"/>
      <c r="T221" s="48"/>
      <c r="U221" s="48"/>
      <c r="V221" s="48"/>
      <c r="W221" s="48"/>
      <c r="X221" s="48"/>
      <c r="Y221" s="48"/>
      <c r="Z221" s="48"/>
      <c r="AA221" s="48"/>
      <c r="AB221" s="48"/>
      <c r="AC221" s="595"/>
      <c r="AD221" s="595"/>
      <c r="AE221" s="25"/>
      <c r="AF221" s="25"/>
      <c r="AG221" s="25"/>
      <c r="AH221" s="25"/>
      <c r="AI221" s="25"/>
      <c r="AJ221" s="25"/>
      <c r="AK221" s="25"/>
      <c r="AL221" s="25"/>
      <c r="AM221" s="25"/>
      <c r="AN221" s="25"/>
      <c r="AO221" s="25"/>
      <c r="AP221" s="25"/>
    </row>
    <row r="222" spans="1:42" s="25" customFormat="1" ht="15">
      <c r="A222" s="331"/>
      <c r="B222" s="453"/>
      <c r="C222" s="534" t="s">
        <v>1583</v>
      </c>
      <c r="D222" s="496"/>
      <c r="E222" s="363"/>
      <c r="F222" s="364"/>
      <c r="G222" s="505"/>
      <c r="H222" s="364"/>
      <c r="I222" s="364"/>
      <c r="J222" s="364"/>
      <c r="K222" s="364"/>
      <c r="L222" s="364"/>
      <c r="M222" s="365"/>
      <c r="N222" s="522"/>
      <c r="O222" s="542"/>
      <c r="P222" s="535"/>
      <c r="Q222" s="514"/>
      <c r="R222" s="514"/>
      <c r="S222" s="515"/>
      <c r="T222" s="455"/>
      <c r="U222" s="455"/>
      <c r="V222" s="455"/>
      <c r="W222" s="455"/>
      <c r="X222" s="455"/>
      <c r="Y222" s="455"/>
      <c r="Z222" s="455"/>
      <c r="AA222" s="455"/>
      <c r="AB222" s="516"/>
      <c r="AC222" s="595"/>
      <c r="AD222" s="595"/>
    </row>
    <row r="223" spans="1:42" ht="15">
      <c r="A223" s="331"/>
      <c r="C223" s="47" t="s">
        <v>1584</v>
      </c>
      <c r="D223" s="314"/>
      <c r="E223" s="357">
        <f>F223*G223</f>
        <v>750</v>
      </c>
      <c r="F223" s="51">
        <f>SUM(H223:M223)</f>
        <v>5</v>
      </c>
      <c r="G223" s="508">
        <v>150</v>
      </c>
      <c r="H223" s="359">
        <v>0</v>
      </c>
      <c r="I223" s="359">
        <v>0</v>
      </c>
      <c r="J223" s="552">
        <v>5</v>
      </c>
      <c r="K223" s="359">
        <v>0</v>
      </c>
      <c r="L223" s="359">
        <v>0</v>
      </c>
      <c r="M223" s="360">
        <v>0</v>
      </c>
      <c r="N223" s="357">
        <f>O223*P223</f>
        <v>0</v>
      </c>
      <c r="O223" s="543">
        <f t="shared" ref="O223:O224" si="443">SUM(Q223:AB223)</f>
        <v>0</v>
      </c>
      <c r="P223" s="537">
        <f>G223</f>
        <v>150</v>
      </c>
      <c r="Q223" s="359">
        <v>0</v>
      </c>
      <c r="R223" s="359">
        <f>Q223</f>
        <v>0</v>
      </c>
      <c r="S223" s="359">
        <f t="shared" ref="S223:AA223" si="444">R223</f>
        <v>0</v>
      </c>
      <c r="T223" s="359">
        <f t="shared" si="444"/>
        <v>0</v>
      </c>
      <c r="U223" s="359">
        <f t="shared" si="444"/>
        <v>0</v>
      </c>
      <c r="V223" s="359">
        <f t="shared" si="444"/>
        <v>0</v>
      </c>
      <c r="W223" s="359">
        <f t="shared" si="444"/>
        <v>0</v>
      </c>
      <c r="X223" s="359">
        <f t="shared" si="444"/>
        <v>0</v>
      </c>
      <c r="Y223" s="359">
        <f t="shared" si="444"/>
        <v>0</v>
      </c>
      <c r="Z223" s="359">
        <f t="shared" si="444"/>
        <v>0</v>
      </c>
      <c r="AA223" s="359">
        <f t="shared" si="444"/>
        <v>0</v>
      </c>
      <c r="AB223" s="360">
        <f>AA223</f>
        <v>0</v>
      </c>
      <c r="AC223" s="595"/>
      <c r="AD223" s="595"/>
      <c r="AE223" s="25"/>
      <c r="AF223" s="25"/>
      <c r="AG223" s="25"/>
      <c r="AH223" s="25"/>
      <c r="AI223" s="25"/>
      <c r="AJ223" s="25"/>
      <c r="AK223" s="25"/>
      <c r="AL223" s="25"/>
      <c r="AM223" s="25"/>
      <c r="AN223" s="25"/>
      <c r="AO223" s="25"/>
      <c r="AP223" s="25"/>
    </row>
    <row r="224" spans="1:42">
      <c r="A224" s="331"/>
      <c r="C224" s="47" t="s">
        <v>1696</v>
      </c>
      <c r="D224" s="314"/>
      <c r="E224" s="357">
        <f>F224*G224</f>
        <v>500</v>
      </c>
      <c r="F224" s="51">
        <f>SUM(H224:M224)</f>
        <v>1</v>
      </c>
      <c r="G224" s="508">
        <v>500</v>
      </c>
      <c r="H224" s="359">
        <v>0</v>
      </c>
      <c r="I224" s="359">
        <v>0</v>
      </c>
      <c r="J224" s="359">
        <v>1</v>
      </c>
      <c r="K224" s="359">
        <v>0</v>
      </c>
      <c r="L224" s="359">
        <v>0</v>
      </c>
      <c r="M224" s="360">
        <v>0</v>
      </c>
      <c r="N224" s="357">
        <f t="shared" ref="N224" si="445">O224*P224</f>
        <v>0</v>
      </c>
      <c r="O224" s="543">
        <f t="shared" si="443"/>
        <v>0</v>
      </c>
      <c r="P224" s="537">
        <f>G224</f>
        <v>500</v>
      </c>
      <c r="Q224" s="359">
        <v>0</v>
      </c>
      <c r="R224" s="359">
        <f t="shared" ref="R224:AB224" si="446">Q224</f>
        <v>0</v>
      </c>
      <c r="S224" s="359">
        <f t="shared" si="446"/>
        <v>0</v>
      </c>
      <c r="T224" s="359">
        <f t="shared" si="446"/>
        <v>0</v>
      </c>
      <c r="U224" s="359">
        <f t="shared" si="446"/>
        <v>0</v>
      </c>
      <c r="V224" s="359">
        <f t="shared" si="446"/>
        <v>0</v>
      </c>
      <c r="W224" s="359">
        <f t="shared" si="446"/>
        <v>0</v>
      </c>
      <c r="X224" s="359">
        <f t="shared" si="446"/>
        <v>0</v>
      </c>
      <c r="Y224" s="359">
        <f t="shared" si="446"/>
        <v>0</v>
      </c>
      <c r="Z224" s="359">
        <f t="shared" si="446"/>
        <v>0</v>
      </c>
      <c r="AA224" s="359">
        <f t="shared" si="446"/>
        <v>0</v>
      </c>
      <c r="AB224" s="360">
        <f t="shared" si="446"/>
        <v>0</v>
      </c>
      <c r="AC224" s="595"/>
      <c r="AD224" s="595"/>
      <c r="AE224" s="25"/>
      <c r="AF224" s="25"/>
      <c r="AG224" s="25"/>
      <c r="AH224" s="25"/>
      <c r="AI224" s="25"/>
      <c r="AJ224" s="25"/>
      <c r="AK224" s="25"/>
      <c r="AL224" s="25"/>
      <c r="AM224" s="25"/>
      <c r="AN224" s="25"/>
      <c r="AO224" s="25"/>
      <c r="AP224" s="25"/>
    </row>
    <row r="225" spans="1:42" s="25" customFormat="1" ht="15">
      <c r="A225" s="331"/>
      <c r="B225" s="453"/>
      <c r="C225" s="497"/>
      <c r="D225" s="314"/>
      <c r="E225" s="357"/>
      <c r="F225" s="51"/>
      <c r="G225" s="507"/>
      <c r="H225" s="51"/>
      <c r="I225" s="51"/>
      <c r="J225" s="51"/>
      <c r="K225" s="51"/>
      <c r="L225" s="51"/>
      <c r="M225" s="368"/>
      <c r="N225" s="523"/>
      <c r="O225" s="544"/>
      <c r="P225" s="536"/>
      <c r="Q225" s="352"/>
      <c r="R225" s="352"/>
      <c r="S225" s="348"/>
      <c r="T225" s="48"/>
      <c r="U225" s="48"/>
      <c r="V225" s="48"/>
      <c r="W225" s="48"/>
      <c r="X225" s="48"/>
      <c r="Y225" s="48"/>
      <c r="Z225" s="48"/>
      <c r="AA225" s="48"/>
      <c r="AB225" s="372"/>
      <c r="AC225" s="595"/>
      <c r="AD225" s="595"/>
    </row>
    <row r="226" spans="1:42" ht="15">
      <c r="A226" s="331"/>
      <c r="C226" s="499" t="s">
        <v>234</v>
      </c>
      <c r="D226" s="343"/>
      <c r="E226" s="370">
        <f>SUM(E223:E224)</f>
        <v>1250</v>
      </c>
      <c r="F226" s="501"/>
      <c r="G226" s="500"/>
      <c r="H226" s="502"/>
      <c r="I226" s="502"/>
      <c r="J226" s="503"/>
      <c r="K226" s="503"/>
      <c r="L226" s="503"/>
      <c r="M226" s="504"/>
      <c r="N226" s="370">
        <f>SUM(N223:N224)</f>
        <v>0</v>
      </c>
      <c r="O226" s="545"/>
      <c r="P226" s="546"/>
      <c r="Q226" s="527"/>
      <c r="R226" s="527"/>
      <c r="S226" s="528"/>
      <c r="T226" s="524"/>
      <c r="U226" s="524"/>
      <c r="V226" s="524"/>
      <c r="W226" s="524"/>
      <c r="X226" s="524"/>
      <c r="Y226" s="524"/>
      <c r="Z226" s="524"/>
      <c r="AA226" s="524"/>
      <c r="AB226" s="529"/>
      <c r="AC226" s="595"/>
      <c r="AD226" s="595"/>
      <c r="AE226" s="25"/>
      <c r="AF226" s="25"/>
      <c r="AG226" s="25"/>
      <c r="AH226" s="25"/>
      <c r="AI226" s="25"/>
      <c r="AJ226" s="25"/>
      <c r="AK226" s="25"/>
      <c r="AL226" s="25"/>
      <c r="AM226" s="25"/>
      <c r="AN226" s="25"/>
      <c r="AO226" s="25"/>
      <c r="AP226" s="25"/>
    </row>
    <row r="227" spans="1:42" ht="15">
      <c r="A227" s="331"/>
      <c r="C227" s="314"/>
      <c r="D227" s="314"/>
      <c r="E227" s="353"/>
      <c r="F227" s="322"/>
      <c r="G227" s="548"/>
      <c r="H227" s="549"/>
      <c r="I227" s="549"/>
      <c r="J227" s="51"/>
      <c r="K227" s="51"/>
      <c r="L227" s="51"/>
      <c r="M227" s="51"/>
      <c r="N227" s="349"/>
      <c r="O227" s="350"/>
      <c r="P227" s="351"/>
      <c r="Q227" s="352"/>
      <c r="R227" s="352"/>
      <c r="S227" s="348"/>
      <c r="T227" s="48"/>
      <c r="U227" s="48"/>
      <c r="V227" s="48"/>
      <c r="W227" s="48"/>
      <c r="X227" s="48"/>
      <c r="Y227" s="48"/>
      <c r="Z227" s="48"/>
      <c r="AA227" s="48"/>
      <c r="AB227" s="48"/>
      <c r="AC227" s="595"/>
      <c r="AD227" s="595"/>
      <c r="AE227" s="25"/>
      <c r="AF227" s="25"/>
      <c r="AG227" s="25"/>
      <c r="AH227" s="25"/>
      <c r="AI227" s="25"/>
      <c r="AJ227" s="25"/>
      <c r="AK227" s="25"/>
      <c r="AL227" s="25"/>
      <c r="AM227" s="25"/>
      <c r="AN227" s="25"/>
      <c r="AO227" s="25"/>
      <c r="AP227" s="25"/>
    </row>
    <row r="228" spans="1:42" ht="15">
      <c r="A228" s="331"/>
      <c r="C228" s="371" t="s">
        <v>374</v>
      </c>
      <c r="D228" s="496"/>
      <c r="E228" s="363"/>
      <c r="F228" s="364"/>
      <c r="G228" s="505"/>
      <c r="H228" s="364"/>
      <c r="I228" s="364"/>
      <c r="J228" s="364"/>
      <c r="K228" s="364"/>
      <c r="L228" s="364"/>
      <c r="M228" s="365"/>
      <c r="N228" s="522"/>
      <c r="O228" s="513"/>
      <c r="P228" s="535"/>
      <c r="Q228" s="531"/>
      <c r="R228" s="514"/>
      <c r="S228" s="515"/>
      <c r="T228" s="455"/>
      <c r="U228" s="455"/>
      <c r="V228" s="455"/>
      <c r="W228" s="455"/>
      <c r="X228" s="455"/>
      <c r="Y228" s="455"/>
      <c r="Z228" s="455"/>
      <c r="AA228" s="455"/>
      <c r="AB228" s="516"/>
      <c r="AC228" s="595"/>
      <c r="AD228" s="595"/>
      <c r="AE228" s="25"/>
      <c r="AF228" s="25"/>
      <c r="AG228" s="25"/>
      <c r="AH228" s="25"/>
      <c r="AI228" s="25"/>
      <c r="AJ228" s="25"/>
      <c r="AK228" s="25"/>
      <c r="AL228" s="25"/>
      <c r="AM228" s="25"/>
      <c r="AN228" s="25"/>
      <c r="AO228" s="25"/>
      <c r="AP228" s="25"/>
    </row>
    <row r="229" spans="1:42" ht="15">
      <c r="A229" s="331"/>
      <c r="C229" s="366" t="s">
        <v>1569</v>
      </c>
      <c r="D229" s="314"/>
      <c r="E229" s="357"/>
      <c r="F229" s="51"/>
      <c r="G229" s="507"/>
      <c r="H229" s="51"/>
      <c r="I229" s="51"/>
      <c r="J229" s="51"/>
      <c r="K229" s="51"/>
      <c r="L229" s="51"/>
      <c r="M229" s="368"/>
      <c r="N229" s="523"/>
      <c r="O229" s="350"/>
      <c r="P229" s="536"/>
      <c r="Q229" s="532"/>
      <c r="R229" s="352"/>
      <c r="S229" s="348"/>
      <c r="T229" s="48"/>
      <c r="U229" s="48"/>
      <c r="V229" s="48"/>
      <c r="W229" s="48"/>
      <c r="X229" s="48"/>
      <c r="Y229" s="48"/>
      <c r="Z229" s="48"/>
      <c r="AA229" s="48"/>
      <c r="AB229" s="372"/>
      <c r="AC229" s="595"/>
      <c r="AD229" s="595"/>
      <c r="AE229" s="25"/>
      <c r="AF229" s="25"/>
      <c r="AG229" s="25"/>
      <c r="AH229" s="25"/>
      <c r="AI229" s="25"/>
      <c r="AJ229" s="25"/>
      <c r="AK229" s="25"/>
      <c r="AL229" s="25"/>
      <c r="AM229" s="25"/>
      <c r="AN229" s="25"/>
      <c r="AO229" s="25"/>
      <c r="AP229" s="25"/>
    </row>
    <row r="230" spans="1:42" ht="15">
      <c r="A230" s="331"/>
      <c r="C230" s="47" t="s">
        <v>687</v>
      </c>
      <c r="D230" s="314"/>
      <c r="E230" s="357">
        <f>F230*G230</f>
        <v>1830</v>
      </c>
      <c r="F230" s="51">
        <f>SUM(H230:M230)</f>
        <v>2</v>
      </c>
      <c r="G230" s="508">
        <v>915</v>
      </c>
      <c r="H230" s="359">
        <v>0</v>
      </c>
      <c r="I230" s="359">
        <v>0</v>
      </c>
      <c r="J230" s="359">
        <f>SUMIF('List of equipment'!$O$7:$O$48,'List of equipment'!O18,'List of equipment'!$Q$7:$Q$48)</f>
        <v>2</v>
      </c>
      <c r="K230" s="359">
        <v>0</v>
      </c>
      <c r="L230" s="359">
        <v>0</v>
      </c>
      <c r="M230" s="360">
        <v>0</v>
      </c>
      <c r="N230" s="357">
        <f>O230*P230</f>
        <v>0</v>
      </c>
      <c r="O230" s="521">
        <f>SUM(Q230:AB230)</f>
        <v>0</v>
      </c>
      <c r="P230" s="537">
        <f>G230</f>
        <v>915</v>
      </c>
      <c r="Q230" s="557">
        <v>0</v>
      </c>
      <c r="R230" s="558">
        <f>Q230</f>
        <v>0</v>
      </c>
      <c r="S230" s="558">
        <f t="shared" ref="S230:AA230" si="447">R230</f>
        <v>0</v>
      </c>
      <c r="T230" s="558">
        <f t="shared" si="447"/>
        <v>0</v>
      </c>
      <c r="U230" s="558">
        <f t="shared" si="447"/>
        <v>0</v>
      </c>
      <c r="V230" s="558">
        <f t="shared" si="447"/>
        <v>0</v>
      </c>
      <c r="W230" s="558">
        <f t="shared" si="447"/>
        <v>0</v>
      </c>
      <c r="X230" s="558">
        <f t="shared" si="447"/>
        <v>0</v>
      </c>
      <c r="Y230" s="558">
        <f t="shared" si="447"/>
        <v>0</v>
      </c>
      <c r="Z230" s="558">
        <f t="shared" si="447"/>
        <v>0</v>
      </c>
      <c r="AA230" s="558">
        <f t="shared" si="447"/>
        <v>0</v>
      </c>
      <c r="AB230" s="561">
        <f>AA230</f>
        <v>0</v>
      </c>
      <c r="AC230" s="595">
        <f>'List of equipment'!$Q$18</f>
        <v>2</v>
      </c>
      <c r="AD230" s="595" t="str">
        <f>IF(SUM(F230,O230)-AC230&gt;=0,"True","False")</f>
        <v>True</v>
      </c>
      <c r="AE230" s="25"/>
      <c r="AF230" s="25"/>
      <c r="AG230" s="25"/>
      <c r="AH230" s="25"/>
      <c r="AI230" s="25"/>
      <c r="AJ230" s="25"/>
      <c r="AK230" s="25"/>
      <c r="AL230" s="25"/>
      <c r="AM230" s="25"/>
      <c r="AN230" s="25"/>
      <c r="AO230" s="25"/>
      <c r="AP230" s="25"/>
    </row>
    <row r="231" spans="1:42" ht="15">
      <c r="A231" s="331"/>
      <c r="C231" s="47" t="s">
        <v>668</v>
      </c>
      <c r="D231" s="314"/>
      <c r="E231" s="357">
        <f t="shared" ref="E231:E233" si="448">F231*G231</f>
        <v>3720</v>
      </c>
      <c r="F231" s="51">
        <f t="shared" ref="F231:F233" si="449">SUM(H231:M231)</f>
        <v>12</v>
      </c>
      <c r="G231" s="508">
        <v>310</v>
      </c>
      <c r="H231" s="359">
        <v>0</v>
      </c>
      <c r="I231" s="359">
        <v>0</v>
      </c>
      <c r="J231" s="359">
        <f>SUMIF('List of equipment'!$O$7:$O$48,'List of equipment'!$O$7,'List of equipment'!$Q$7:$Q$48)</f>
        <v>12</v>
      </c>
      <c r="K231" s="359">
        <v>0</v>
      </c>
      <c r="L231" s="359">
        <v>0</v>
      </c>
      <c r="M231" s="360">
        <v>0</v>
      </c>
      <c r="N231" s="357">
        <f t="shared" ref="N231:N263" si="450">O231*P231</f>
        <v>0</v>
      </c>
      <c r="O231" s="521">
        <f t="shared" ref="O231:O263" si="451">SUM(Q231:AB231)</f>
        <v>0</v>
      </c>
      <c r="P231" s="537">
        <f t="shared" ref="P231:P263" si="452">G231</f>
        <v>310</v>
      </c>
      <c r="Q231" s="557">
        <v>0</v>
      </c>
      <c r="R231" s="558">
        <f t="shared" ref="R231:AB231" si="453">Q231</f>
        <v>0</v>
      </c>
      <c r="S231" s="558">
        <f t="shared" si="453"/>
        <v>0</v>
      </c>
      <c r="T231" s="558">
        <f t="shared" si="453"/>
        <v>0</v>
      </c>
      <c r="U231" s="558">
        <f t="shared" si="453"/>
        <v>0</v>
      </c>
      <c r="V231" s="558">
        <f t="shared" si="453"/>
        <v>0</v>
      </c>
      <c r="W231" s="558">
        <f t="shared" si="453"/>
        <v>0</v>
      </c>
      <c r="X231" s="558">
        <f t="shared" si="453"/>
        <v>0</v>
      </c>
      <c r="Y231" s="558">
        <f t="shared" si="453"/>
        <v>0</v>
      </c>
      <c r="Z231" s="558">
        <f t="shared" si="453"/>
        <v>0</v>
      </c>
      <c r="AA231" s="558">
        <f t="shared" si="453"/>
        <v>0</v>
      </c>
      <c r="AB231" s="561">
        <f t="shared" si="453"/>
        <v>0</v>
      </c>
      <c r="AC231" s="595">
        <f>SUM('App 9_Yr1 Headcount'!$K$189:$K$191)</f>
        <v>5</v>
      </c>
      <c r="AD231" s="595" t="str">
        <f t="shared" ref="AD231:AD233" si="454">IF(SUM(F231,O231)-AC231&gt;=0,"True","False")</f>
        <v>True</v>
      </c>
      <c r="AE231" s="25"/>
      <c r="AF231" s="25"/>
      <c r="AG231" s="25"/>
      <c r="AH231" s="25"/>
      <c r="AI231" s="25"/>
      <c r="AJ231" s="25"/>
      <c r="AK231" s="25"/>
      <c r="AL231" s="25"/>
      <c r="AM231" s="25"/>
      <c r="AN231" s="25"/>
      <c r="AO231" s="25"/>
      <c r="AP231" s="25"/>
    </row>
    <row r="232" spans="1:42" ht="15">
      <c r="A232" s="331"/>
      <c r="C232" s="47" t="s">
        <v>667</v>
      </c>
      <c r="D232" s="314"/>
      <c r="E232" s="357">
        <f t="shared" si="448"/>
        <v>2160</v>
      </c>
      <c r="F232" s="51">
        <f t="shared" si="449"/>
        <v>12</v>
      </c>
      <c r="G232" s="508">
        <v>180</v>
      </c>
      <c r="H232" s="359">
        <v>0</v>
      </c>
      <c r="I232" s="359">
        <v>0</v>
      </c>
      <c r="J232" s="359">
        <f>SUMIF('List of equipment'!$O$7:$O$48,'List of equipment'!$O$9,'List of equipment'!$Q$7:$Q$48)</f>
        <v>12</v>
      </c>
      <c r="K232" s="359">
        <v>0</v>
      </c>
      <c r="L232" s="359">
        <v>0</v>
      </c>
      <c r="M232" s="360">
        <v>0</v>
      </c>
      <c r="N232" s="357">
        <f t="shared" si="450"/>
        <v>0</v>
      </c>
      <c r="O232" s="521">
        <f t="shared" si="451"/>
        <v>0</v>
      </c>
      <c r="P232" s="537">
        <f t="shared" si="452"/>
        <v>180</v>
      </c>
      <c r="Q232" s="557">
        <v>0</v>
      </c>
      <c r="R232" s="558">
        <f t="shared" ref="R232:AB232" si="455">Q232</f>
        <v>0</v>
      </c>
      <c r="S232" s="558">
        <f t="shared" si="455"/>
        <v>0</v>
      </c>
      <c r="T232" s="558">
        <f t="shared" si="455"/>
        <v>0</v>
      </c>
      <c r="U232" s="558">
        <f t="shared" si="455"/>
        <v>0</v>
      </c>
      <c r="V232" s="558">
        <f t="shared" si="455"/>
        <v>0</v>
      </c>
      <c r="W232" s="558">
        <f t="shared" si="455"/>
        <v>0</v>
      </c>
      <c r="X232" s="558">
        <f t="shared" si="455"/>
        <v>0</v>
      </c>
      <c r="Y232" s="558">
        <f t="shared" si="455"/>
        <v>0</v>
      </c>
      <c r="Z232" s="558">
        <f t="shared" si="455"/>
        <v>0</v>
      </c>
      <c r="AA232" s="558">
        <f t="shared" si="455"/>
        <v>0</v>
      </c>
      <c r="AB232" s="561">
        <f t="shared" si="455"/>
        <v>0</v>
      </c>
      <c r="AC232" s="595">
        <f>SUM('App 9_Yr1 Headcount'!$K$189:$K$191)</f>
        <v>5</v>
      </c>
      <c r="AD232" s="595" t="str">
        <f t="shared" si="454"/>
        <v>True</v>
      </c>
      <c r="AE232" s="25"/>
      <c r="AF232" s="25"/>
      <c r="AG232" s="25"/>
      <c r="AH232" s="25"/>
      <c r="AI232" s="25"/>
      <c r="AJ232" s="25"/>
      <c r="AK232" s="25"/>
      <c r="AL232" s="25"/>
      <c r="AM232" s="25"/>
      <c r="AN232" s="25"/>
      <c r="AO232" s="25"/>
      <c r="AP232" s="25"/>
    </row>
    <row r="233" spans="1:42" ht="15">
      <c r="A233" s="331"/>
      <c r="C233" s="47" t="s">
        <v>665</v>
      </c>
      <c r="D233" s="314"/>
      <c r="E233" s="357">
        <f t="shared" si="448"/>
        <v>12000</v>
      </c>
      <c r="F233" s="51">
        <f t="shared" si="449"/>
        <v>1</v>
      </c>
      <c r="G233" s="508">
        <v>12000</v>
      </c>
      <c r="H233" s="359">
        <v>0</v>
      </c>
      <c r="I233" s="359">
        <v>0</v>
      </c>
      <c r="J233" s="359">
        <v>0</v>
      </c>
      <c r="K233" s="359">
        <v>1</v>
      </c>
      <c r="L233" s="359">
        <v>0</v>
      </c>
      <c r="M233" s="360">
        <v>0</v>
      </c>
      <c r="N233" s="357">
        <f t="shared" si="450"/>
        <v>0</v>
      </c>
      <c r="O233" s="521">
        <f t="shared" si="451"/>
        <v>0</v>
      </c>
      <c r="P233" s="537">
        <f t="shared" si="452"/>
        <v>12000</v>
      </c>
      <c r="Q233" s="557">
        <v>0</v>
      </c>
      <c r="R233" s="558">
        <f t="shared" ref="R233:AB233" si="456">Q233</f>
        <v>0</v>
      </c>
      <c r="S233" s="558">
        <f t="shared" si="456"/>
        <v>0</v>
      </c>
      <c r="T233" s="558">
        <f t="shared" si="456"/>
        <v>0</v>
      </c>
      <c r="U233" s="558">
        <f t="shared" si="456"/>
        <v>0</v>
      </c>
      <c r="V233" s="558">
        <f t="shared" si="456"/>
        <v>0</v>
      </c>
      <c r="W233" s="558">
        <f t="shared" si="456"/>
        <v>0</v>
      </c>
      <c r="X233" s="558">
        <f t="shared" si="456"/>
        <v>0</v>
      </c>
      <c r="Y233" s="558">
        <f t="shared" si="456"/>
        <v>0</v>
      </c>
      <c r="Z233" s="558">
        <f t="shared" si="456"/>
        <v>0</v>
      </c>
      <c r="AA233" s="558">
        <f t="shared" si="456"/>
        <v>0</v>
      </c>
      <c r="AB233" s="561">
        <f t="shared" si="456"/>
        <v>0</v>
      </c>
      <c r="AC233" s="595">
        <f>'List of equipment'!$Q$35</f>
        <v>1</v>
      </c>
      <c r="AD233" s="595" t="str">
        <f t="shared" si="454"/>
        <v>True</v>
      </c>
      <c r="AE233" s="25"/>
      <c r="AF233" s="25"/>
      <c r="AG233" s="25"/>
      <c r="AH233" s="25"/>
      <c r="AI233" s="25"/>
      <c r="AJ233" s="25"/>
      <c r="AK233" s="25"/>
      <c r="AL233" s="25"/>
      <c r="AM233" s="25"/>
      <c r="AN233" s="25"/>
      <c r="AO233" s="25"/>
      <c r="AP233" s="25"/>
    </row>
    <row r="234" spans="1:42" ht="15">
      <c r="A234" s="331"/>
      <c r="C234" s="498" t="s">
        <v>1570</v>
      </c>
      <c r="D234" s="314"/>
      <c r="E234" s="357"/>
      <c r="F234" s="51"/>
      <c r="G234" s="507"/>
      <c r="H234" s="51"/>
      <c r="I234" s="51"/>
      <c r="J234" s="51"/>
      <c r="K234" s="51"/>
      <c r="L234" s="51"/>
      <c r="M234" s="368"/>
      <c r="N234" s="357"/>
      <c r="O234" s="521"/>
      <c r="P234" s="537"/>
      <c r="Q234" s="532"/>
      <c r="R234" s="352"/>
      <c r="S234" s="348"/>
      <c r="T234" s="48"/>
      <c r="U234" s="48"/>
      <c r="V234" s="48"/>
      <c r="W234" s="48"/>
      <c r="X234" s="48"/>
      <c r="Y234" s="48"/>
      <c r="Z234" s="48"/>
      <c r="AA234" s="48"/>
      <c r="AB234" s="372"/>
      <c r="AC234" s="595"/>
      <c r="AD234" s="595"/>
      <c r="AE234" s="25"/>
      <c r="AF234" s="25"/>
      <c r="AG234" s="25"/>
      <c r="AH234" s="25"/>
      <c r="AI234" s="25"/>
      <c r="AJ234" s="25"/>
      <c r="AK234" s="25"/>
      <c r="AL234" s="25"/>
      <c r="AM234" s="25"/>
      <c r="AN234" s="25"/>
      <c r="AO234" s="25"/>
      <c r="AP234" s="25"/>
    </row>
    <row r="235" spans="1:42" ht="15">
      <c r="A235" s="331"/>
      <c r="C235" s="47" t="s">
        <v>1681</v>
      </c>
      <c r="D235" s="314"/>
      <c r="E235" s="357">
        <f t="shared" ref="E235" si="457">F235*G235</f>
        <v>25</v>
      </c>
      <c r="F235" s="51">
        <f t="shared" ref="F235" si="458">SUM(H235:M235)</f>
        <v>1</v>
      </c>
      <c r="G235" s="508">
        <v>25</v>
      </c>
      <c r="H235" s="359">
        <v>0</v>
      </c>
      <c r="I235" s="359">
        <v>0</v>
      </c>
      <c r="J235" s="359">
        <f>SUMIF('List of equipment'!$D$69:$D$103,'List of equipment'!D72,'List of equipment'!$F$69:$F$103)</f>
        <v>1</v>
      </c>
      <c r="K235" s="359">
        <v>0</v>
      </c>
      <c r="L235" s="359">
        <v>0</v>
      </c>
      <c r="M235" s="360">
        <v>0</v>
      </c>
      <c r="N235" s="357">
        <f t="shared" si="450"/>
        <v>0</v>
      </c>
      <c r="O235" s="521">
        <f t="shared" si="451"/>
        <v>0</v>
      </c>
      <c r="P235" s="537">
        <f t="shared" si="452"/>
        <v>25</v>
      </c>
      <c r="Q235" s="557">
        <v>0</v>
      </c>
      <c r="R235" s="558">
        <f>Q235</f>
        <v>0</v>
      </c>
      <c r="S235" s="558">
        <f t="shared" ref="S235:AA235" si="459">R235</f>
        <v>0</v>
      </c>
      <c r="T235" s="558">
        <f t="shared" si="459"/>
        <v>0</v>
      </c>
      <c r="U235" s="558">
        <f t="shared" si="459"/>
        <v>0</v>
      </c>
      <c r="V235" s="558">
        <f t="shared" si="459"/>
        <v>0</v>
      </c>
      <c r="W235" s="558">
        <f t="shared" si="459"/>
        <v>0</v>
      </c>
      <c r="X235" s="558">
        <f t="shared" si="459"/>
        <v>0</v>
      </c>
      <c r="Y235" s="558">
        <f t="shared" si="459"/>
        <v>0</v>
      </c>
      <c r="Z235" s="558">
        <f t="shared" si="459"/>
        <v>0</v>
      </c>
      <c r="AA235" s="558">
        <f t="shared" si="459"/>
        <v>0</v>
      </c>
      <c r="AB235" s="561">
        <f>AA235</f>
        <v>0</v>
      </c>
      <c r="AC235" s="595"/>
      <c r="AD235" s="595"/>
      <c r="AE235" s="25"/>
      <c r="AF235" s="25"/>
      <c r="AG235" s="25"/>
      <c r="AH235" s="25"/>
      <c r="AI235" s="25"/>
      <c r="AJ235" s="25"/>
      <c r="AK235" s="25"/>
      <c r="AL235" s="25"/>
      <c r="AM235" s="25"/>
      <c r="AN235" s="25"/>
      <c r="AO235" s="25"/>
      <c r="AP235" s="25"/>
    </row>
    <row r="236" spans="1:42" ht="15">
      <c r="A236" s="331"/>
      <c r="B236" s="453" t="s">
        <v>1684</v>
      </c>
      <c r="C236" s="47" t="s">
        <v>1683</v>
      </c>
      <c r="D236" s="314"/>
      <c r="E236" s="357">
        <f t="shared" ref="E236:E244" si="460">F236*G236</f>
        <v>20</v>
      </c>
      <c r="F236" s="51">
        <f t="shared" ref="F236:F244" si="461">SUM(H236:M236)</f>
        <v>1</v>
      </c>
      <c r="G236" s="508">
        <v>20</v>
      </c>
      <c r="H236" s="359">
        <v>0</v>
      </c>
      <c r="I236" s="359">
        <v>0</v>
      </c>
      <c r="J236" s="359">
        <f>SUMIF('List of equipment'!$D$69:$D$103,'List of equipment'!D73,'List of equipment'!$F$69:$F$103)</f>
        <v>1</v>
      </c>
      <c r="K236" s="359">
        <v>0</v>
      </c>
      <c r="L236" s="359">
        <v>0</v>
      </c>
      <c r="M236" s="360">
        <v>0</v>
      </c>
      <c r="N236" s="357">
        <f t="shared" si="450"/>
        <v>0</v>
      </c>
      <c r="O236" s="521">
        <f t="shared" si="451"/>
        <v>0</v>
      </c>
      <c r="P236" s="537">
        <f t="shared" si="452"/>
        <v>20</v>
      </c>
      <c r="Q236" s="557">
        <v>0</v>
      </c>
      <c r="R236" s="558">
        <f t="shared" ref="R236:AB236" si="462">Q236</f>
        <v>0</v>
      </c>
      <c r="S236" s="558">
        <f t="shared" si="462"/>
        <v>0</v>
      </c>
      <c r="T236" s="558">
        <f t="shared" si="462"/>
        <v>0</v>
      </c>
      <c r="U236" s="558">
        <f t="shared" si="462"/>
        <v>0</v>
      </c>
      <c r="V236" s="558">
        <f t="shared" si="462"/>
        <v>0</v>
      </c>
      <c r="W236" s="558">
        <f t="shared" si="462"/>
        <v>0</v>
      </c>
      <c r="X236" s="558">
        <f t="shared" si="462"/>
        <v>0</v>
      </c>
      <c r="Y236" s="558">
        <f t="shared" si="462"/>
        <v>0</v>
      </c>
      <c r="Z236" s="558">
        <f t="shared" si="462"/>
        <v>0</v>
      </c>
      <c r="AA236" s="558">
        <f t="shared" si="462"/>
        <v>0</v>
      </c>
      <c r="AB236" s="561">
        <f t="shared" si="462"/>
        <v>0</v>
      </c>
      <c r="AC236" s="595"/>
      <c r="AD236" s="595"/>
      <c r="AE236" s="25"/>
      <c r="AF236" s="25"/>
      <c r="AG236" s="25"/>
      <c r="AH236" s="25"/>
      <c r="AI236" s="25"/>
      <c r="AJ236" s="25"/>
      <c r="AK236" s="25"/>
      <c r="AL236" s="25"/>
      <c r="AM236" s="25"/>
      <c r="AN236" s="25"/>
      <c r="AO236" s="25"/>
      <c r="AP236" s="25"/>
    </row>
    <row r="237" spans="1:42" ht="15">
      <c r="A237" s="331"/>
      <c r="B237" s="453" t="s">
        <v>1686</v>
      </c>
      <c r="C237" s="47" t="s">
        <v>1685</v>
      </c>
      <c r="D237" s="314" t="s">
        <v>1153</v>
      </c>
      <c r="E237" s="357">
        <f t="shared" si="460"/>
        <v>10</v>
      </c>
      <c r="F237" s="51">
        <f t="shared" si="461"/>
        <v>1</v>
      </c>
      <c r="G237" s="508">
        <v>10</v>
      </c>
      <c r="H237" s="359">
        <v>0</v>
      </c>
      <c r="I237" s="359">
        <v>0</v>
      </c>
      <c r="J237" s="359">
        <f>SUMIF('List of equipment'!$D$69:$D$103,'List of equipment'!D80,'List of equipment'!$F$69:$F$103)</f>
        <v>1</v>
      </c>
      <c r="K237" s="359">
        <v>0</v>
      </c>
      <c r="L237" s="359">
        <v>0</v>
      </c>
      <c r="M237" s="360">
        <v>0</v>
      </c>
      <c r="N237" s="357">
        <f t="shared" si="450"/>
        <v>0</v>
      </c>
      <c r="O237" s="521">
        <f t="shared" si="451"/>
        <v>0</v>
      </c>
      <c r="P237" s="537">
        <f t="shared" si="452"/>
        <v>10</v>
      </c>
      <c r="Q237" s="557">
        <v>0</v>
      </c>
      <c r="R237" s="558">
        <f t="shared" ref="R237:AB237" si="463">Q237</f>
        <v>0</v>
      </c>
      <c r="S237" s="558">
        <f t="shared" si="463"/>
        <v>0</v>
      </c>
      <c r="T237" s="558">
        <f t="shared" si="463"/>
        <v>0</v>
      </c>
      <c r="U237" s="558">
        <f t="shared" si="463"/>
        <v>0</v>
      </c>
      <c r="V237" s="558">
        <f t="shared" si="463"/>
        <v>0</v>
      </c>
      <c r="W237" s="558">
        <f t="shared" si="463"/>
        <v>0</v>
      </c>
      <c r="X237" s="558">
        <f t="shared" si="463"/>
        <v>0</v>
      </c>
      <c r="Y237" s="558">
        <f t="shared" si="463"/>
        <v>0</v>
      </c>
      <c r="Z237" s="558">
        <f t="shared" si="463"/>
        <v>0</v>
      </c>
      <c r="AA237" s="558">
        <f t="shared" si="463"/>
        <v>0</v>
      </c>
      <c r="AB237" s="561">
        <f t="shared" si="463"/>
        <v>0</v>
      </c>
      <c r="AC237" s="595"/>
      <c r="AD237" s="595"/>
      <c r="AE237" s="25"/>
      <c r="AF237" s="25"/>
      <c r="AG237" s="25"/>
      <c r="AH237" s="25"/>
      <c r="AI237" s="25"/>
      <c r="AJ237" s="25"/>
      <c r="AK237" s="25"/>
      <c r="AL237" s="25"/>
      <c r="AM237" s="25"/>
      <c r="AN237" s="25"/>
      <c r="AO237" s="25"/>
      <c r="AP237" s="25"/>
    </row>
    <row r="238" spans="1:42" ht="15">
      <c r="A238" s="331"/>
      <c r="B238" s="453" t="s">
        <v>1688</v>
      </c>
      <c r="C238" s="47" t="s">
        <v>1687</v>
      </c>
      <c r="D238" s="314" t="s">
        <v>1132</v>
      </c>
      <c r="E238" s="357">
        <f t="shared" si="460"/>
        <v>10</v>
      </c>
      <c r="F238" s="51">
        <f t="shared" si="461"/>
        <v>1</v>
      </c>
      <c r="G238" s="508">
        <v>10</v>
      </c>
      <c r="H238" s="359">
        <v>0</v>
      </c>
      <c r="I238" s="359">
        <v>0</v>
      </c>
      <c r="J238" s="359">
        <f>SUMIF('List of equipment'!$D$69:$D$103,'List of equipment'!D82,'List of equipment'!$F$69:$F$103)</f>
        <v>1</v>
      </c>
      <c r="K238" s="359">
        <v>0</v>
      </c>
      <c r="L238" s="359">
        <v>0</v>
      </c>
      <c r="M238" s="360">
        <v>0</v>
      </c>
      <c r="N238" s="357">
        <f t="shared" si="450"/>
        <v>0</v>
      </c>
      <c r="O238" s="521">
        <f t="shared" si="451"/>
        <v>0</v>
      </c>
      <c r="P238" s="537">
        <f t="shared" si="452"/>
        <v>10</v>
      </c>
      <c r="Q238" s="557">
        <v>0</v>
      </c>
      <c r="R238" s="558">
        <f t="shared" ref="R238:AB238" si="464">Q238</f>
        <v>0</v>
      </c>
      <c r="S238" s="558">
        <f t="shared" si="464"/>
        <v>0</v>
      </c>
      <c r="T238" s="558">
        <f t="shared" si="464"/>
        <v>0</v>
      </c>
      <c r="U238" s="558">
        <f t="shared" si="464"/>
        <v>0</v>
      </c>
      <c r="V238" s="558">
        <f t="shared" si="464"/>
        <v>0</v>
      </c>
      <c r="W238" s="558">
        <f t="shared" si="464"/>
        <v>0</v>
      </c>
      <c r="X238" s="558">
        <f t="shared" si="464"/>
        <v>0</v>
      </c>
      <c r="Y238" s="558">
        <f t="shared" si="464"/>
        <v>0</v>
      </c>
      <c r="Z238" s="558">
        <f t="shared" si="464"/>
        <v>0</v>
      </c>
      <c r="AA238" s="558">
        <f t="shared" si="464"/>
        <v>0</v>
      </c>
      <c r="AB238" s="561">
        <f t="shared" si="464"/>
        <v>0</v>
      </c>
      <c r="AC238" s="595"/>
      <c r="AD238" s="595"/>
      <c r="AE238" s="25"/>
      <c r="AF238" s="25"/>
      <c r="AG238" s="25"/>
      <c r="AH238" s="25"/>
      <c r="AI238" s="25"/>
      <c r="AJ238" s="25"/>
      <c r="AK238" s="25"/>
      <c r="AL238" s="25"/>
      <c r="AM238" s="25"/>
      <c r="AN238" s="25"/>
      <c r="AO238" s="25"/>
      <c r="AP238" s="25"/>
    </row>
    <row r="239" spans="1:42" ht="15">
      <c r="A239" s="331"/>
      <c r="B239" s="453" t="s">
        <v>1690</v>
      </c>
      <c r="C239" s="47" t="s">
        <v>1689</v>
      </c>
      <c r="D239" s="314" t="s">
        <v>1132</v>
      </c>
      <c r="E239" s="357">
        <f t="shared" si="460"/>
        <v>20</v>
      </c>
      <c r="F239" s="51">
        <f t="shared" si="461"/>
        <v>2</v>
      </c>
      <c r="G239" s="508">
        <v>10</v>
      </c>
      <c r="H239" s="359">
        <v>0</v>
      </c>
      <c r="I239" s="359">
        <v>0</v>
      </c>
      <c r="J239" s="359">
        <f>SUMIF('List of equipment'!$D$69:$D$103,'List of equipment'!D85,'List of equipment'!$F$69:$F$103)</f>
        <v>2</v>
      </c>
      <c r="K239" s="359">
        <v>0</v>
      </c>
      <c r="L239" s="359">
        <v>0</v>
      </c>
      <c r="M239" s="360">
        <v>0</v>
      </c>
      <c r="N239" s="357">
        <f t="shared" si="450"/>
        <v>0</v>
      </c>
      <c r="O239" s="521">
        <f t="shared" si="451"/>
        <v>0</v>
      </c>
      <c r="P239" s="537">
        <f t="shared" si="452"/>
        <v>10</v>
      </c>
      <c r="Q239" s="557">
        <v>0</v>
      </c>
      <c r="R239" s="558">
        <f t="shared" ref="R239:AB239" si="465">Q239</f>
        <v>0</v>
      </c>
      <c r="S239" s="558">
        <f t="shared" si="465"/>
        <v>0</v>
      </c>
      <c r="T239" s="558">
        <f t="shared" si="465"/>
        <v>0</v>
      </c>
      <c r="U239" s="558">
        <f t="shared" si="465"/>
        <v>0</v>
      </c>
      <c r="V239" s="558">
        <f t="shared" si="465"/>
        <v>0</v>
      </c>
      <c r="W239" s="558">
        <f t="shared" si="465"/>
        <v>0</v>
      </c>
      <c r="X239" s="558">
        <f t="shared" si="465"/>
        <v>0</v>
      </c>
      <c r="Y239" s="558">
        <f t="shared" si="465"/>
        <v>0</v>
      </c>
      <c r="Z239" s="558">
        <f t="shared" si="465"/>
        <v>0</v>
      </c>
      <c r="AA239" s="558">
        <f t="shared" si="465"/>
        <v>0</v>
      </c>
      <c r="AB239" s="561">
        <f t="shared" si="465"/>
        <v>0</v>
      </c>
      <c r="AC239" s="595"/>
      <c r="AD239" s="595"/>
      <c r="AE239" s="25"/>
      <c r="AF239" s="25"/>
      <c r="AG239" s="25"/>
      <c r="AH239" s="25"/>
      <c r="AI239" s="25"/>
      <c r="AJ239" s="25"/>
      <c r="AK239" s="25"/>
      <c r="AL239" s="25"/>
      <c r="AM239" s="25"/>
      <c r="AN239" s="25"/>
      <c r="AO239" s="25"/>
      <c r="AP239" s="25"/>
    </row>
    <row r="240" spans="1:42" ht="15">
      <c r="A240" s="331"/>
      <c r="B240" s="453" t="s">
        <v>1692</v>
      </c>
      <c r="C240" s="47" t="s">
        <v>1691</v>
      </c>
      <c r="D240" s="314" t="s">
        <v>1132</v>
      </c>
      <c r="E240" s="357">
        <f t="shared" si="460"/>
        <v>20</v>
      </c>
      <c r="F240" s="51">
        <f t="shared" si="461"/>
        <v>2</v>
      </c>
      <c r="G240" s="508">
        <v>10</v>
      </c>
      <c r="H240" s="359">
        <v>0</v>
      </c>
      <c r="I240" s="359">
        <v>0</v>
      </c>
      <c r="J240" s="359">
        <f>SUMIF('List of equipment'!$D$69:$D$103,'List of equipment'!D87,'List of equipment'!$F$69:$F$103)</f>
        <v>2</v>
      </c>
      <c r="K240" s="359">
        <v>0</v>
      </c>
      <c r="L240" s="359">
        <v>0</v>
      </c>
      <c r="M240" s="360">
        <v>0</v>
      </c>
      <c r="N240" s="357">
        <f t="shared" si="450"/>
        <v>0</v>
      </c>
      <c r="O240" s="521">
        <f t="shared" si="451"/>
        <v>0</v>
      </c>
      <c r="P240" s="537">
        <f t="shared" si="452"/>
        <v>10</v>
      </c>
      <c r="Q240" s="557">
        <v>0</v>
      </c>
      <c r="R240" s="558">
        <f t="shared" ref="R240:AB240" si="466">Q240</f>
        <v>0</v>
      </c>
      <c r="S240" s="558">
        <f t="shared" si="466"/>
        <v>0</v>
      </c>
      <c r="T240" s="558">
        <f t="shared" si="466"/>
        <v>0</v>
      </c>
      <c r="U240" s="558">
        <f t="shared" si="466"/>
        <v>0</v>
      </c>
      <c r="V240" s="558">
        <f t="shared" si="466"/>
        <v>0</v>
      </c>
      <c r="W240" s="558">
        <f t="shared" si="466"/>
        <v>0</v>
      </c>
      <c r="X240" s="558">
        <f t="shared" si="466"/>
        <v>0</v>
      </c>
      <c r="Y240" s="558">
        <f t="shared" si="466"/>
        <v>0</v>
      </c>
      <c r="Z240" s="558">
        <f t="shared" si="466"/>
        <v>0</v>
      </c>
      <c r="AA240" s="558">
        <f t="shared" si="466"/>
        <v>0</v>
      </c>
      <c r="AB240" s="561">
        <f t="shared" si="466"/>
        <v>0</v>
      </c>
      <c r="AC240" s="595"/>
      <c r="AD240" s="595"/>
      <c r="AE240" s="25"/>
      <c r="AF240" s="25"/>
      <c r="AG240" s="25"/>
      <c r="AH240" s="25"/>
      <c r="AI240" s="25"/>
      <c r="AJ240" s="25"/>
      <c r="AK240" s="25"/>
      <c r="AL240" s="25"/>
      <c r="AM240" s="25"/>
      <c r="AN240" s="25"/>
      <c r="AO240" s="25"/>
      <c r="AP240" s="25"/>
    </row>
    <row r="241" spans="1:42" ht="15">
      <c r="A241" s="331"/>
      <c r="B241" s="853" t="s">
        <v>1169</v>
      </c>
      <c r="C241" s="47" t="s">
        <v>1693</v>
      </c>
      <c r="D241" s="314" t="s">
        <v>1132</v>
      </c>
      <c r="E241" s="357">
        <f t="shared" si="460"/>
        <v>10</v>
      </c>
      <c r="F241" s="51">
        <f t="shared" si="461"/>
        <v>1</v>
      </c>
      <c r="G241" s="508">
        <v>10</v>
      </c>
      <c r="H241" s="359">
        <v>0</v>
      </c>
      <c r="I241" s="359">
        <v>0</v>
      </c>
      <c r="J241" s="359">
        <f>SUMIF('List of equipment'!$D$69:$D$103,'List of equipment'!D88,'List of equipment'!$F$69:$F$103)</f>
        <v>1</v>
      </c>
      <c r="K241" s="359">
        <v>0</v>
      </c>
      <c r="L241" s="359">
        <v>0</v>
      </c>
      <c r="M241" s="360">
        <v>0</v>
      </c>
      <c r="N241" s="357">
        <f t="shared" si="450"/>
        <v>0</v>
      </c>
      <c r="O241" s="521">
        <f t="shared" si="451"/>
        <v>0</v>
      </c>
      <c r="P241" s="537">
        <f t="shared" si="452"/>
        <v>10</v>
      </c>
      <c r="Q241" s="557">
        <v>0</v>
      </c>
      <c r="R241" s="558">
        <f t="shared" ref="R241:AB241" si="467">Q241</f>
        <v>0</v>
      </c>
      <c r="S241" s="558">
        <f t="shared" si="467"/>
        <v>0</v>
      </c>
      <c r="T241" s="558">
        <f t="shared" si="467"/>
        <v>0</v>
      </c>
      <c r="U241" s="558">
        <f t="shared" si="467"/>
        <v>0</v>
      </c>
      <c r="V241" s="558">
        <f t="shared" si="467"/>
        <v>0</v>
      </c>
      <c r="W241" s="558">
        <f t="shared" si="467"/>
        <v>0</v>
      </c>
      <c r="X241" s="558">
        <f t="shared" si="467"/>
        <v>0</v>
      </c>
      <c r="Y241" s="558">
        <f t="shared" si="467"/>
        <v>0</v>
      </c>
      <c r="Z241" s="558">
        <f t="shared" si="467"/>
        <v>0</v>
      </c>
      <c r="AA241" s="558">
        <f t="shared" si="467"/>
        <v>0</v>
      </c>
      <c r="AB241" s="561">
        <f t="shared" si="467"/>
        <v>0</v>
      </c>
      <c r="AC241" s="595"/>
      <c r="AD241" s="595"/>
      <c r="AE241" s="25"/>
      <c r="AF241" s="25"/>
      <c r="AG241" s="25"/>
      <c r="AH241" s="25"/>
      <c r="AI241" s="25"/>
      <c r="AJ241" s="25"/>
      <c r="AK241" s="25"/>
      <c r="AL241" s="25"/>
      <c r="AM241" s="25"/>
      <c r="AN241" s="25"/>
      <c r="AO241" s="25"/>
      <c r="AP241" s="25"/>
    </row>
    <row r="242" spans="1:42" ht="15">
      <c r="A242" s="331"/>
      <c r="B242" s="853" t="s">
        <v>1177</v>
      </c>
      <c r="C242" s="47" t="s">
        <v>1694</v>
      </c>
      <c r="D242" s="314" t="s">
        <v>1132</v>
      </c>
      <c r="E242" s="357">
        <f t="shared" si="460"/>
        <v>60</v>
      </c>
      <c r="F242" s="51">
        <f t="shared" si="461"/>
        <v>2</v>
      </c>
      <c r="G242" s="508">
        <v>30</v>
      </c>
      <c r="H242" s="359">
        <v>0</v>
      </c>
      <c r="I242" s="359">
        <v>0</v>
      </c>
      <c r="J242" s="359">
        <f>SUMIF('List of equipment'!$D$69:$D$103,'List of equipment'!D92,'List of equipment'!$F$69:$F$103)</f>
        <v>2</v>
      </c>
      <c r="K242" s="359">
        <v>0</v>
      </c>
      <c r="L242" s="359">
        <v>0</v>
      </c>
      <c r="M242" s="360">
        <v>0</v>
      </c>
      <c r="N242" s="357">
        <f t="shared" si="450"/>
        <v>0</v>
      </c>
      <c r="O242" s="521">
        <f t="shared" si="451"/>
        <v>0</v>
      </c>
      <c r="P242" s="537">
        <f t="shared" si="452"/>
        <v>30</v>
      </c>
      <c r="Q242" s="557">
        <v>0</v>
      </c>
      <c r="R242" s="558">
        <f t="shared" ref="R242:AB242" si="468">Q242</f>
        <v>0</v>
      </c>
      <c r="S242" s="558">
        <f t="shared" si="468"/>
        <v>0</v>
      </c>
      <c r="T242" s="558">
        <f t="shared" si="468"/>
        <v>0</v>
      </c>
      <c r="U242" s="558">
        <f t="shared" si="468"/>
        <v>0</v>
      </c>
      <c r="V242" s="558">
        <f t="shared" si="468"/>
        <v>0</v>
      </c>
      <c r="W242" s="558">
        <f t="shared" si="468"/>
        <v>0</v>
      </c>
      <c r="X242" s="558">
        <f t="shared" si="468"/>
        <v>0</v>
      </c>
      <c r="Y242" s="558">
        <f t="shared" si="468"/>
        <v>0</v>
      </c>
      <c r="Z242" s="558">
        <f t="shared" si="468"/>
        <v>0</v>
      </c>
      <c r="AA242" s="558">
        <f t="shared" si="468"/>
        <v>0</v>
      </c>
      <c r="AB242" s="561">
        <f t="shared" si="468"/>
        <v>0</v>
      </c>
      <c r="AC242" s="595"/>
      <c r="AD242" s="595"/>
      <c r="AE242" s="25"/>
      <c r="AF242" s="25"/>
      <c r="AG242" s="25"/>
      <c r="AH242" s="25"/>
      <c r="AI242" s="25"/>
      <c r="AJ242" s="25"/>
      <c r="AK242" s="25"/>
      <c r="AL242" s="25"/>
      <c r="AM242" s="25"/>
      <c r="AN242" s="25"/>
      <c r="AO242" s="25"/>
      <c r="AP242" s="25"/>
    </row>
    <row r="243" spans="1:42" ht="15">
      <c r="A243" s="331"/>
      <c r="B243" s="854" t="s">
        <v>1182</v>
      </c>
      <c r="C243" s="47" t="s">
        <v>1695</v>
      </c>
      <c r="D243" s="314" t="s">
        <v>1038</v>
      </c>
      <c r="E243" s="357">
        <f t="shared" si="460"/>
        <v>50</v>
      </c>
      <c r="F243" s="51">
        <f t="shared" si="461"/>
        <v>1</v>
      </c>
      <c r="G243" s="508">
        <v>50</v>
      </c>
      <c r="H243" s="359">
        <v>0</v>
      </c>
      <c r="I243" s="359">
        <v>0</v>
      </c>
      <c r="J243" s="359">
        <f>SUMIF('List of equipment'!$D$69:$D$103,'List of equipment'!D94,'List of equipment'!$F$69:$F$103)</f>
        <v>1</v>
      </c>
      <c r="K243" s="359">
        <v>0</v>
      </c>
      <c r="L243" s="359">
        <v>0</v>
      </c>
      <c r="M243" s="360">
        <v>0</v>
      </c>
      <c r="N243" s="357">
        <f t="shared" si="450"/>
        <v>0</v>
      </c>
      <c r="O243" s="521">
        <f t="shared" si="451"/>
        <v>0</v>
      </c>
      <c r="P243" s="537">
        <f t="shared" si="452"/>
        <v>50</v>
      </c>
      <c r="Q243" s="557">
        <v>0</v>
      </c>
      <c r="R243" s="558">
        <f t="shared" ref="R243:AB243" si="469">Q243</f>
        <v>0</v>
      </c>
      <c r="S243" s="558">
        <f t="shared" si="469"/>
        <v>0</v>
      </c>
      <c r="T243" s="558">
        <f t="shared" si="469"/>
        <v>0</v>
      </c>
      <c r="U243" s="558">
        <f t="shared" si="469"/>
        <v>0</v>
      </c>
      <c r="V243" s="558">
        <f t="shared" si="469"/>
        <v>0</v>
      </c>
      <c r="W243" s="558">
        <f t="shared" si="469"/>
        <v>0</v>
      </c>
      <c r="X243" s="558">
        <f t="shared" si="469"/>
        <v>0</v>
      </c>
      <c r="Y243" s="558">
        <f t="shared" si="469"/>
        <v>0</v>
      </c>
      <c r="Z243" s="558">
        <f t="shared" si="469"/>
        <v>0</v>
      </c>
      <c r="AA243" s="558">
        <f t="shared" si="469"/>
        <v>0</v>
      </c>
      <c r="AB243" s="561">
        <f t="shared" si="469"/>
        <v>0</v>
      </c>
      <c r="AC243" s="595"/>
      <c r="AD243" s="595"/>
      <c r="AE243" s="25"/>
      <c r="AF243" s="25"/>
      <c r="AG243" s="25"/>
      <c r="AH243" s="25"/>
      <c r="AI243" s="25"/>
      <c r="AJ243" s="25"/>
      <c r="AK243" s="25"/>
      <c r="AL243" s="25"/>
      <c r="AM243" s="25"/>
      <c r="AN243" s="25"/>
      <c r="AO243" s="25"/>
      <c r="AP243" s="25"/>
    </row>
    <row r="244" spans="1:42" ht="15">
      <c r="A244" s="331"/>
      <c r="B244" s="853" t="s">
        <v>1199</v>
      </c>
      <c r="C244" s="47" t="s">
        <v>1720</v>
      </c>
      <c r="D244" s="314" t="s">
        <v>1132</v>
      </c>
      <c r="E244" s="357">
        <f t="shared" si="460"/>
        <v>3250</v>
      </c>
      <c r="F244" s="51">
        <f t="shared" si="461"/>
        <v>1</v>
      </c>
      <c r="G244" s="508">
        <f>65000/20</f>
        <v>3250</v>
      </c>
      <c r="H244" s="359">
        <v>0</v>
      </c>
      <c r="I244" s="359">
        <v>0</v>
      </c>
      <c r="J244" s="359">
        <f>SUMIF('List of equipment'!$D$69:$D$103,'List of equipment'!D101,'List of equipment'!$F$69:$F$103)</f>
        <v>1</v>
      </c>
      <c r="K244" s="359">
        <v>0</v>
      </c>
      <c r="L244" s="359">
        <v>0</v>
      </c>
      <c r="M244" s="360">
        <v>0</v>
      </c>
      <c r="N244" s="357">
        <f t="shared" si="450"/>
        <v>0</v>
      </c>
      <c r="O244" s="521">
        <f t="shared" si="451"/>
        <v>0</v>
      </c>
      <c r="P244" s="537">
        <f t="shared" si="452"/>
        <v>3250</v>
      </c>
      <c r="Q244" s="557">
        <v>0</v>
      </c>
      <c r="R244" s="558">
        <f t="shared" ref="R244:AB246" si="470">Q244</f>
        <v>0</v>
      </c>
      <c r="S244" s="558">
        <f t="shared" si="470"/>
        <v>0</v>
      </c>
      <c r="T244" s="558">
        <f t="shared" si="470"/>
        <v>0</v>
      </c>
      <c r="U244" s="558">
        <f t="shared" si="470"/>
        <v>0</v>
      </c>
      <c r="V244" s="558">
        <f t="shared" si="470"/>
        <v>0</v>
      </c>
      <c r="W244" s="558">
        <f t="shared" si="470"/>
        <v>0</v>
      </c>
      <c r="X244" s="558">
        <f t="shared" si="470"/>
        <v>0</v>
      </c>
      <c r="Y244" s="558">
        <f t="shared" si="470"/>
        <v>0</v>
      </c>
      <c r="Z244" s="558">
        <f t="shared" si="470"/>
        <v>0</v>
      </c>
      <c r="AA244" s="558">
        <f t="shared" si="470"/>
        <v>0</v>
      </c>
      <c r="AB244" s="561">
        <f t="shared" si="470"/>
        <v>0</v>
      </c>
      <c r="AC244" s="595"/>
      <c r="AD244" s="595"/>
      <c r="AE244" s="25"/>
      <c r="AF244" s="25"/>
      <c r="AG244" s="25"/>
      <c r="AH244" s="25"/>
      <c r="AI244" s="25"/>
      <c r="AJ244" s="25"/>
      <c r="AK244" s="25"/>
      <c r="AL244" s="25"/>
      <c r="AM244" s="25"/>
      <c r="AN244" s="25"/>
      <c r="AO244" s="25"/>
      <c r="AP244" s="25"/>
    </row>
    <row r="245" spans="1:42" ht="15">
      <c r="A245" s="331"/>
      <c r="B245" s="855" t="s">
        <v>1571</v>
      </c>
      <c r="C245" s="498" t="s">
        <v>1571</v>
      </c>
      <c r="D245" s="314"/>
      <c r="E245" s="357"/>
      <c r="F245" s="51"/>
      <c r="G245" s="507"/>
      <c r="H245" s="51"/>
      <c r="I245" s="51"/>
      <c r="J245" s="51"/>
      <c r="K245" s="51"/>
      <c r="L245" s="51"/>
      <c r="M245" s="368"/>
      <c r="N245" s="357"/>
      <c r="O245" s="521"/>
      <c r="P245" s="537"/>
      <c r="Q245" s="532"/>
      <c r="R245" s="352"/>
      <c r="S245" s="348"/>
      <c r="T245" s="48"/>
      <c r="U245" s="48"/>
      <c r="V245" s="48"/>
      <c r="W245" s="48"/>
      <c r="X245" s="48"/>
      <c r="Y245" s="48"/>
      <c r="Z245" s="48"/>
      <c r="AA245" s="48"/>
      <c r="AB245" s="372"/>
      <c r="AC245" s="595"/>
      <c r="AD245" s="595"/>
      <c r="AE245" s="25"/>
      <c r="AF245" s="25"/>
      <c r="AG245" s="25"/>
      <c r="AH245" s="25"/>
      <c r="AI245" s="25"/>
      <c r="AJ245" s="25"/>
      <c r="AK245" s="25"/>
      <c r="AL245" s="25"/>
      <c r="AM245" s="25"/>
      <c r="AN245" s="25"/>
      <c r="AO245" s="25"/>
      <c r="AP245" s="25"/>
    </row>
    <row r="246" spans="1:42" ht="15">
      <c r="A246" s="331"/>
      <c r="B246" s="853" t="s">
        <v>1204</v>
      </c>
      <c r="C246" s="47" t="s">
        <v>1721</v>
      </c>
      <c r="D246" s="314" t="s">
        <v>564</v>
      </c>
      <c r="E246" s="357">
        <f t="shared" ref="E246" si="471">F246*G246</f>
        <v>200</v>
      </c>
      <c r="F246" s="51">
        <f t="shared" ref="F246" si="472">SUM(H246:M246)</f>
        <v>1</v>
      </c>
      <c r="G246" s="508">
        <v>200</v>
      </c>
      <c r="H246" s="359">
        <v>0</v>
      </c>
      <c r="I246" s="359">
        <v>0</v>
      </c>
      <c r="J246" s="359">
        <f>SUMIF('List of equipment'!$D$105:$D$127,'List of equipment'!D105,'List of equipment'!$F$105:$F$127)</f>
        <v>1</v>
      </c>
      <c r="K246" s="359">
        <v>0</v>
      </c>
      <c r="L246" s="359">
        <v>0</v>
      </c>
      <c r="M246" s="360">
        <v>0</v>
      </c>
      <c r="N246" s="357">
        <f t="shared" si="450"/>
        <v>0</v>
      </c>
      <c r="O246" s="521">
        <f t="shared" si="451"/>
        <v>0</v>
      </c>
      <c r="P246" s="537">
        <f t="shared" si="452"/>
        <v>200</v>
      </c>
      <c r="Q246" s="557">
        <v>0</v>
      </c>
      <c r="R246" s="558">
        <f t="shared" si="470"/>
        <v>0</v>
      </c>
      <c r="S246" s="558">
        <f t="shared" si="470"/>
        <v>0</v>
      </c>
      <c r="T246" s="558">
        <f t="shared" si="470"/>
        <v>0</v>
      </c>
      <c r="U246" s="558">
        <f t="shared" si="470"/>
        <v>0</v>
      </c>
      <c r="V246" s="558">
        <f t="shared" si="470"/>
        <v>0</v>
      </c>
      <c r="W246" s="558">
        <f t="shared" si="470"/>
        <v>0</v>
      </c>
      <c r="X246" s="558">
        <f t="shared" si="470"/>
        <v>0</v>
      </c>
      <c r="Y246" s="558">
        <f t="shared" si="470"/>
        <v>0</v>
      </c>
      <c r="Z246" s="558">
        <f t="shared" si="470"/>
        <v>0</v>
      </c>
      <c r="AA246" s="558">
        <f t="shared" si="470"/>
        <v>0</v>
      </c>
      <c r="AB246" s="561">
        <f t="shared" si="470"/>
        <v>0</v>
      </c>
      <c r="AC246" s="595"/>
      <c r="AD246" s="595"/>
      <c r="AE246" s="25"/>
      <c r="AF246" s="25"/>
      <c r="AG246" s="25"/>
      <c r="AH246" s="25"/>
      <c r="AI246" s="25"/>
      <c r="AJ246" s="25"/>
      <c r="AK246" s="25"/>
      <c r="AL246" s="25"/>
      <c r="AM246" s="25"/>
      <c r="AN246" s="25"/>
      <c r="AO246" s="25"/>
      <c r="AP246" s="25"/>
    </row>
    <row r="247" spans="1:42" ht="15">
      <c r="A247" s="331"/>
      <c r="B247" s="853" t="s">
        <v>1214</v>
      </c>
      <c r="C247" s="47" t="s">
        <v>1747</v>
      </c>
      <c r="D247" s="314" t="s">
        <v>564</v>
      </c>
      <c r="E247" s="357">
        <f t="shared" ref="E247:E250" si="473">F247*G247</f>
        <v>20</v>
      </c>
      <c r="F247" s="51">
        <f t="shared" ref="F247:F250" si="474">SUM(H247:M247)</f>
        <v>1</v>
      </c>
      <c r="G247" s="508">
        <v>20</v>
      </c>
      <c r="H247" s="359">
        <v>0</v>
      </c>
      <c r="I247" s="359">
        <v>0</v>
      </c>
      <c r="J247" s="359">
        <f>SUMIF('List of equipment'!$D$105:$D$127,'List of equipment'!D119,'List of equipment'!$F$105:$F$127)</f>
        <v>1</v>
      </c>
      <c r="K247" s="359">
        <v>0</v>
      </c>
      <c r="L247" s="359">
        <v>0</v>
      </c>
      <c r="M247" s="360">
        <v>0</v>
      </c>
      <c r="N247" s="357">
        <f t="shared" si="450"/>
        <v>0</v>
      </c>
      <c r="O247" s="521">
        <f t="shared" si="451"/>
        <v>0</v>
      </c>
      <c r="P247" s="537">
        <f t="shared" si="452"/>
        <v>20</v>
      </c>
      <c r="Q247" s="557">
        <v>0</v>
      </c>
      <c r="R247" s="558">
        <f t="shared" ref="R247:AB247" si="475">Q247</f>
        <v>0</v>
      </c>
      <c r="S247" s="558">
        <f t="shared" si="475"/>
        <v>0</v>
      </c>
      <c r="T247" s="558">
        <f t="shared" si="475"/>
        <v>0</v>
      </c>
      <c r="U247" s="558">
        <f t="shared" si="475"/>
        <v>0</v>
      </c>
      <c r="V247" s="558">
        <f t="shared" si="475"/>
        <v>0</v>
      </c>
      <c r="W247" s="558">
        <f t="shared" si="475"/>
        <v>0</v>
      </c>
      <c r="X247" s="558">
        <f t="shared" si="475"/>
        <v>0</v>
      </c>
      <c r="Y247" s="558">
        <f t="shared" si="475"/>
        <v>0</v>
      </c>
      <c r="Z247" s="558">
        <f t="shared" si="475"/>
        <v>0</v>
      </c>
      <c r="AA247" s="558">
        <f t="shared" si="475"/>
        <v>0</v>
      </c>
      <c r="AB247" s="561">
        <f t="shared" si="475"/>
        <v>0</v>
      </c>
      <c r="AC247" s="595"/>
      <c r="AD247" s="595"/>
      <c r="AE247" s="25"/>
      <c r="AF247" s="25"/>
      <c r="AG247" s="25"/>
      <c r="AH247" s="25"/>
      <c r="AI247" s="25"/>
      <c r="AJ247" s="25"/>
      <c r="AK247" s="25"/>
      <c r="AL247" s="25"/>
      <c r="AM247" s="25"/>
      <c r="AN247" s="25"/>
      <c r="AO247" s="25"/>
      <c r="AP247" s="25"/>
    </row>
    <row r="248" spans="1:42" ht="15">
      <c r="A248" s="331"/>
      <c r="B248" s="853" t="s">
        <v>1215</v>
      </c>
      <c r="C248" s="47" t="s">
        <v>1748</v>
      </c>
      <c r="D248" s="314" t="s">
        <v>1132</v>
      </c>
      <c r="E248" s="357">
        <f t="shared" si="473"/>
        <v>25</v>
      </c>
      <c r="F248" s="51">
        <f t="shared" si="474"/>
        <v>1</v>
      </c>
      <c r="G248" s="508">
        <v>25</v>
      </c>
      <c r="H248" s="359">
        <v>0</v>
      </c>
      <c r="I248" s="359">
        <v>0</v>
      </c>
      <c r="J248" s="359">
        <f>SUMIF('List of equipment'!$D$105:$D$127,'List of equipment'!D120,'List of equipment'!$F$105:$F$127)</f>
        <v>1</v>
      </c>
      <c r="K248" s="359">
        <v>0</v>
      </c>
      <c r="L248" s="359">
        <v>0</v>
      </c>
      <c r="M248" s="360">
        <v>0</v>
      </c>
      <c r="N248" s="357">
        <f t="shared" si="450"/>
        <v>0</v>
      </c>
      <c r="O248" s="521">
        <f t="shared" si="451"/>
        <v>0</v>
      </c>
      <c r="P248" s="537">
        <f t="shared" si="452"/>
        <v>25</v>
      </c>
      <c r="Q248" s="557">
        <v>0</v>
      </c>
      <c r="R248" s="558">
        <f t="shared" ref="R248:AB248" si="476">Q248</f>
        <v>0</v>
      </c>
      <c r="S248" s="558">
        <f t="shared" si="476"/>
        <v>0</v>
      </c>
      <c r="T248" s="558">
        <f t="shared" si="476"/>
        <v>0</v>
      </c>
      <c r="U248" s="558">
        <f t="shared" si="476"/>
        <v>0</v>
      </c>
      <c r="V248" s="558">
        <f t="shared" si="476"/>
        <v>0</v>
      </c>
      <c r="W248" s="558">
        <f t="shared" si="476"/>
        <v>0</v>
      </c>
      <c r="X248" s="558">
        <f t="shared" si="476"/>
        <v>0</v>
      </c>
      <c r="Y248" s="558">
        <f t="shared" si="476"/>
        <v>0</v>
      </c>
      <c r="Z248" s="558">
        <f t="shared" si="476"/>
        <v>0</v>
      </c>
      <c r="AA248" s="558">
        <f t="shared" si="476"/>
        <v>0</v>
      </c>
      <c r="AB248" s="561">
        <f t="shared" si="476"/>
        <v>0</v>
      </c>
      <c r="AC248" s="595"/>
      <c r="AD248" s="595"/>
      <c r="AE248" s="25"/>
      <c r="AF248" s="25"/>
      <c r="AG248" s="25"/>
      <c r="AH248" s="25"/>
      <c r="AI248" s="25"/>
      <c r="AJ248" s="25"/>
      <c r="AK248" s="25"/>
      <c r="AL248" s="25"/>
      <c r="AM248" s="25"/>
      <c r="AN248" s="25"/>
      <c r="AO248" s="25"/>
      <c r="AP248" s="25"/>
    </row>
    <row r="249" spans="1:42" ht="15">
      <c r="A249" s="331"/>
      <c r="B249" s="853" t="s">
        <v>1219</v>
      </c>
      <c r="C249" s="47" t="s">
        <v>1637</v>
      </c>
      <c r="D249" s="314" t="s">
        <v>1132</v>
      </c>
      <c r="E249" s="357">
        <f t="shared" si="473"/>
        <v>3000</v>
      </c>
      <c r="F249" s="51">
        <f t="shared" si="474"/>
        <v>3</v>
      </c>
      <c r="G249" s="508">
        <v>1000</v>
      </c>
      <c r="H249" s="359">
        <v>0</v>
      </c>
      <c r="I249" s="359">
        <v>0</v>
      </c>
      <c r="J249" s="359">
        <f>SUMIF('List of equipment'!$D$105:$D$127,'List of equipment'!D125,'List of equipment'!$F$105:$F$127)</f>
        <v>3</v>
      </c>
      <c r="K249" s="359">
        <v>0</v>
      </c>
      <c r="L249" s="359">
        <v>0</v>
      </c>
      <c r="M249" s="360">
        <v>0</v>
      </c>
      <c r="N249" s="357">
        <f t="shared" si="450"/>
        <v>0</v>
      </c>
      <c r="O249" s="521">
        <f t="shared" si="451"/>
        <v>0</v>
      </c>
      <c r="P249" s="537">
        <f t="shared" si="452"/>
        <v>1000</v>
      </c>
      <c r="Q249" s="557">
        <v>0</v>
      </c>
      <c r="R249" s="558">
        <f t="shared" ref="R249:AB249" si="477">Q249</f>
        <v>0</v>
      </c>
      <c r="S249" s="558">
        <f t="shared" si="477"/>
        <v>0</v>
      </c>
      <c r="T249" s="558">
        <f t="shared" si="477"/>
        <v>0</v>
      </c>
      <c r="U249" s="558">
        <f t="shared" si="477"/>
        <v>0</v>
      </c>
      <c r="V249" s="558">
        <f t="shared" si="477"/>
        <v>0</v>
      </c>
      <c r="W249" s="558">
        <f t="shared" si="477"/>
        <v>0</v>
      </c>
      <c r="X249" s="558">
        <f t="shared" si="477"/>
        <v>0</v>
      </c>
      <c r="Y249" s="558">
        <f t="shared" si="477"/>
        <v>0</v>
      </c>
      <c r="Z249" s="558">
        <f t="shared" si="477"/>
        <v>0</v>
      </c>
      <c r="AA249" s="558">
        <f t="shared" si="477"/>
        <v>0</v>
      </c>
      <c r="AB249" s="561">
        <f t="shared" si="477"/>
        <v>0</v>
      </c>
      <c r="AC249" s="595"/>
      <c r="AD249" s="595"/>
      <c r="AE249" s="25"/>
      <c r="AF249" s="25"/>
      <c r="AG249" s="25"/>
      <c r="AH249" s="25"/>
      <c r="AI249" s="25"/>
      <c r="AJ249" s="25"/>
      <c r="AK249" s="25"/>
      <c r="AL249" s="25"/>
      <c r="AM249" s="25"/>
      <c r="AN249" s="25"/>
      <c r="AO249" s="25"/>
      <c r="AP249" s="25"/>
    </row>
    <row r="250" spans="1:42" ht="15">
      <c r="A250" s="331"/>
      <c r="B250" s="853" t="s">
        <v>1220</v>
      </c>
      <c r="C250" s="47" t="s">
        <v>1737</v>
      </c>
      <c r="D250" s="314" t="s">
        <v>1038</v>
      </c>
      <c r="E250" s="357">
        <f t="shared" si="473"/>
        <v>300</v>
      </c>
      <c r="F250" s="51">
        <f t="shared" si="474"/>
        <v>1</v>
      </c>
      <c r="G250" s="508">
        <v>300</v>
      </c>
      <c r="H250" s="359">
        <v>0</v>
      </c>
      <c r="I250" s="359">
        <v>0</v>
      </c>
      <c r="J250" s="359">
        <f>SUMIF('List of equipment'!$D$105:$D$127,'List of equipment'!D126,'List of equipment'!$F$105:$F$127)</f>
        <v>1</v>
      </c>
      <c r="K250" s="359">
        <v>0</v>
      </c>
      <c r="L250" s="359">
        <v>0</v>
      </c>
      <c r="M250" s="360">
        <v>0</v>
      </c>
      <c r="N250" s="357">
        <f t="shared" si="450"/>
        <v>0</v>
      </c>
      <c r="O250" s="521">
        <f t="shared" si="451"/>
        <v>0</v>
      </c>
      <c r="P250" s="537">
        <f t="shared" si="452"/>
        <v>300</v>
      </c>
      <c r="Q250" s="557">
        <v>0</v>
      </c>
      <c r="R250" s="558">
        <f t="shared" ref="R250:AB252" si="478">Q250</f>
        <v>0</v>
      </c>
      <c r="S250" s="558">
        <f t="shared" si="478"/>
        <v>0</v>
      </c>
      <c r="T250" s="558">
        <f t="shared" si="478"/>
        <v>0</v>
      </c>
      <c r="U250" s="558">
        <f t="shared" si="478"/>
        <v>0</v>
      </c>
      <c r="V250" s="558">
        <f t="shared" si="478"/>
        <v>0</v>
      </c>
      <c r="W250" s="558">
        <f t="shared" si="478"/>
        <v>0</v>
      </c>
      <c r="X250" s="558">
        <f t="shared" si="478"/>
        <v>0</v>
      </c>
      <c r="Y250" s="558">
        <f t="shared" si="478"/>
        <v>0</v>
      </c>
      <c r="Z250" s="558">
        <f t="shared" si="478"/>
        <v>0</v>
      </c>
      <c r="AA250" s="558">
        <f t="shared" si="478"/>
        <v>0</v>
      </c>
      <c r="AB250" s="561">
        <f t="shared" si="478"/>
        <v>0</v>
      </c>
      <c r="AC250" s="595"/>
      <c r="AD250" s="595"/>
      <c r="AE250" s="25"/>
      <c r="AF250" s="25"/>
      <c r="AG250" s="25"/>
      <c r="AH250" s="25"/>
      <c r="AI250" s="25"/>
      <c r="AJ250" s="25"/>
      <c r="AK250" s="25"/>
      <c r="AL250" s="25"/>
      <c r="AM250" s="25"/>
      <c r="AN250" s="25"/>
      <c r="AO250" s="25"/>
      <c r="AP250" s="25"/>
    </row>
    <row r="251" spans="1:42" ht="15">
      <c r="A251" s="331"/>
      <c r="B251" s="855" t="s">
        <v>1572</v>
      </c>
      <c r="C251" s="498" t="s">
        <v>1572</v>
      </c>
      <c r="D251" s="314"/>
      <c r="E251" s="357"/>
      <c r="F251" s="51"/>
      <c r="G251" s="507"/>
      <c r="H251" s="51"/>
      <c r="I251" s="51"/>
      <c r="J251" s="51"/>
      <c r="K251" s="51"/>
      <c r="L251" s="51"/>
      <c r="M251" s="368"/>
      <c r="N251" s="357"/>
      <c r="O251" s="521"/>
      <c r="P251" s="537"/>
      <c r="Q251" s="532"/>
      <c r="R251" s="352"/>
      <c r="S251" s="348"/>
      <c r="T251" s="48"/>
      <c r="U251" s="48"/>
      <c r="V251" s="48"/>
      <c r="W251" s="48"/>
      <c r="X251" s="48"/>
      <c r="Y251" s="48"/>
      <c r="Z251" s="48"/>
      <c r="AA251" s="48"/>
      <c r="AB251" s="372"/>
      <c r="AC251" s="595"/>
      <c r="AD251" s="595"/>
      <c r="AE251" s="25"/>
      <c r="AF251" s="25"/>
      <c r="AG251" s="25"/>
      <c r="AH251" s="25"/>
      <c r="AI251" s="25"/>
      <c r="AJ251" s="25"/>
      <c r="AK251" s="25"/>
      <c r="AL251" s="25"/>
      <c r="AM251" s="25"/>
      <c r="AN251" s="25"/>
      <c r="AO251" s="25"/>
      <c r="AP251" s="25"/>
    </row>
    <row r="252" spans="1:42" ht="15">
      <c r="A252" s="331"/>
      <c r="B252" s="853" t="s">
        <v>1625</v>
      </c>
      <c r="C252" s="47" t="s">
        <v>1625</v>
      </c>
      <c r="D252" s="48" t="s">
        <v>376</v>
      </c>
      <c r="E252" s="357">
        <f t="shared" ref="E252" si="479">F252*G252</f>
        <v>4000</v>
      </c>
      <c r="F252" s="51">
        <f t="shared" ref="F252" si="480">SUM(H252:M252)</f>
        <v>1</v>
      </c>
      <c r="G252" s="508">
        <v>4000</v>
      </c>
      <c r="H252" s="359">
        <v>0</v>
      </c>
      <c r="I252" s="359">
        <v>0</v>
      </c>
      <c r="J252" s="359">
        <f>SUMIF('List of equipment'!$O$702:$O$804,'List of equipment'!O702,'List of equipment'!$Q$702:$Q$804)</f>
        <v>1</v>
      </c>
      <c r="K252" s="359">
        <v>0</v>
      </c>
      <c r="L252" s="359">
        <v>0</v>
      </c>
      <c r="M252" s="360">
        <v>0</v>
      </c>
      <c r="N252" s="357">
        <f t="shared" si="450"/>
        <v>0</v>
      </c>
      <c r="O252" s="521">
        <f t="shared" si="451"/>
        <v>0</v>
      </c>
      <c r="P252" s="537">
        <f t="shared" si="452"/>
        <v>4000</v>
      </c>
      <c r="Q252" s="557">
        <v>0</v>
      </c>
      <c r="R252" s="558">
        <f t="shared" si="478"/>
        <v>0</v>
      </c>
      <c r="S252" s="558">
        <f t="shared" si="478"/>
        <v>0</v>
      </c>
      <c r="T252" s="558">
        <f t="shared" si="478"/>
        <v>0</v>
      </c>
      <c r="U252" s="558">
        <f t="shared" si="478"/>
        <v>0</v>
      </c>
      <c r="V252" s="558">
        <f t="shared" si="478"/>
        <v>0</v>
      </c>
      <c r="W252" s="558">
        <f t="shared" si="478"/>
        <v>0</v>
      </c>
      <c r="X252" s="558">
        <f t="shared" si="478"/>
        <v>0</v>
      </c>
      <c r="Y252" s="558">
        <f t="shared" si="478"/>
        <v>0</v>
      </c>
      <c r="Z252" s="558">
        <f t="shared" si="478"/>
        <v>0</v>
      </c>
      <c r="AA252" s="558">
        <f t="shared" si="478"/>
        <v>0</v>
      </c>
      <c r="AB252" s="561">
        <f t="shared" si="478"/>
        <v>0</v>
      </c>
      <c r="AC252" s="595"/>
      <c r="AD252" s="595"/>
      <c r="AE252" s="25"/>
      <c r="AF252" s="25"/>
      <c r="AG252" s="25"/>
      <c r="AH252" s="25"/>
      <c r="AI252" s="25"/>
      <c r="AJ252" s="25"/>
      <c r="AK252" s="25"/>
      <c r="AL252" s="25"/>
      <c r="AM252" s="25"/>
      <c r="AN252" s="25"/>
      <c r="AO252" s="25"/>
      <c r="AP252" s="25"/>
    </row>
    <row r="253" spans="1:42" ht="15">
      <c r="A253" s="331"/>
      <c r="B253" s="853" t="s">
        <v>1516</v>
      </c>
      <c r="C253" s="47" t="s">
        <v>1722</v>
      </c>
      <c r="D253" s="48" t="s">
        <v>376</v>
      </c>
      <c r="E253" s="357">
        <f t="shared" ref="E253:E263" si="481">F253*G253</f>
        <v>4000</v>
      </c>
      <c r="F253" s="51">
        <f t="shared" ref="F253:F263" si="482">SUM(H253:M253)</f>
        <v>2</v>
      </c>
      <c r="G253" s="508">
        <v>2000</v>
      </c>
      <c r="H253" s="359">
        <v>0</v>
      </c>
      <c r="I253" s="359">
        <v>0</v>
      </c>
      <c r="J253" s="359">
        <f>SUMIF('List of equipment'!$O$702:$O$804,'List of equipment'!O704,'List of equipment'!$Q$702:$Q$804)</f>
        <v>2</v>
      </c>
      <c r="K253" s="359">
        <v>0</v>
      </c>
      <c r="L253" s="359">
        <v>0</v>
      </c>
      <c r="M253" s="360">
        <v>0</v>
      </c>
      <c r="N253" s="357">
        <f t="shared" si="450"/>
        <v>0</v>
      </c>
      <c r="O253" s="521">
        <f t="shared" si="451"/>
        <v>0</v>
      </c>
      <c r="P253" s="537">
        <f t="shared" si="452"/>
        <v>2000</v>
      </c>
      <c r="Q253" s="557">
        <v>0</v>
      </c>
      <c r="R253" s="558">
        <f t="shared" ref="R253:AB253" si="483">Q253</f>
        <v>0</v>
      </c>
      <c r="S253" s="558">
        <f t="shared" si="483"/>
        <v>0</v>
      </c>
      <c r="T253" s="558">
        <f t="shared" si="483"/>
        <v>0</v>
      </c>
      <c r="U253" s="558">
        <f t="shared" si="483"/>
        <v>0</v>
      </c>
      <c r="V253" s="558">
        <f t="shared" si="483"/>
        <v>0</v>
      </c>
      <c r="W253" s="558">
        <f t="shared" si="483"/>
        <v>0</v>
      </c>
      <c r="X253" s="558">
        <f t="shared" si="483"/>
        <v>0</v>
      </c>
      <c r="Y253" s="558">
        <f t="shared" si="483"/>
        <v>0</v>
      </c>
      <c r="Z253" s="558">
        <f t="shared" si="483"/>
        <v>0</v>
      </c>
      <c r="AA253" s="558">
        <f t="shared" si="483"/>
        <v>0</v>
      </c>
      <c r="AB253" s="561">
        <f t="shared" si="483"/>
        <v>0</v>
      </c>
      <c r="AC253" s="595"/>
      <c r="AD253" s="595"/>
      <c r="AE253" s="25"/>
      <c r="AF253" s="25"/>
      <c r="AG253" s="25"/>
      <c r="AH253" s="25"/>
      <c r="AI253" s="25"/>
      <c r="AJ253" s="25"/>
      <c r="AK253" s="25"/>
      <c r="AL253" s="25"/>
      <c r="AM253" s="25"/>
      <c r="AN253" s="25"/>
      <c r="AO253" s="25"/>
      <c r="AP253" s="25"/>
    </row>
    <row r="254" spans="1:42" ht="15">
      <c r="A254" s="331"/>
      <c r="B254" s="853" t="s">
        <v>1517</v>
      </c>
      <c r="C254" s="47" t="s">
        <v>1738</v>
      </c>
      <c r="D254" s="48" t="s">
        <v>376</v>
      </c>
      <c r="E254" s="357">
        <f t="shared" si="481"/>
        <v>2500</v>
      </c>
      <c r="F254" s="51">
        <f t="shared" si="482"/>
        <v>2</v>
      </c>
      <c r="G254" s="508">
        <v>1250</v>
      </c>
      <c r="H254" s="359">
        <v>0</v>
      </c>
      <c r="I254" s="359">
        <v>0</v>
      </c>
      <c r="J254" s="359">
        <f>SUMIF('List of equipment'!$O$702:$O$804,'List of equipment'!O705,'List of equipment'!$Q$702:$Q$804)</f>
        <v>2</v>
      </c>
      <c r="K254" s="359">
        <v>0</v>
      </c>
      <c r="L254" s="359">
        <v>0</v>
      </c>
      <c r="M254" s="360">
        <v>0</v>
      </c>
      <c r="N254" s="357">
        <f t="shared" si="450"/>
        <v>0</v>
      </c>
      <c r="O254" s="521">
        <f t="shared" si="451"/>
        <v>0</v>
      </c>
      <c r="P254" s="537">
        <f t="shared" si="452"/>
        <v>1250</v>
      </c>
      <c r="Q254" s="557">
        <v>0</v>
      </c>
      <c r="R254" s="558">
        <f t="shared" ref="R254:AB254" si="484">Q254</f>
        <v>0</v>
      </c>
      <c r="S254" s="558">
        <f t="shared" si="484"/>
        <v>0</v>
      </c>
      <c r="T254" s="558">
        <f t="shared" si="484"/>
        <v>0</v>
      </c>
      <c r="U254" s="558">
        <f t="shared" si="484"/>
        <v>0</v>
      </c>
      <c r="V254" s="558">
        <f t="shared" si="484"/>
        <v>0</v>
      </c>
      <c r="W254" s="558">
        <f t="shared" si="484"/>
        <v>0</v>
      </c>
      <c r="X254" s="558">
        <f t="shared" si="484"/>
        <v>0</v>
      </c>
      <c r="Y254" s="558">
        <f t="shared" si="484"/>
        <v>0</v>
      </c>
      <c r="Z254" s="558">
        <f t="shared" si="484"/>
        <v>0</v>
      </c>
      <c r="AA254" s="558">
        <f t="shared" si="484"/>
        <v>0</v>
      </c>
      <c r="AB254" s="561">
        <f t="shared" si="484"/>
        <v>0</v>
      </c>
      <c r="AC254" s="595"/>
      <c r="AD254" s="595"/>
      <c r="AE254" s="25"/>
      <c r="AF254" s="25"/>
      <c r="AG254" s="25"/>
      <c r="AH254" s="25"/>
      <c r="AI254" s="25"/>
      <c r="AJ254" s="25"/>
      <c r="AK254" s="25"/>
      <c r="AL254" s="25"/>
      <c r="AM254" s="25"/>
      <c r="AN254" s="25"/>
      <c r="AO254" s="25"/>
      <c r="AP254" s="25"/>
    </row>
    <row r="255" spans="1:42" ht="15">
      <c r="A255" s="331"/>
      <c r="B255" s="853" t="s">
        <v>1518</v>
      </c>
      <c r="C255" s="47" t="s">
        <v>1739</v>
      </c>
      <c r="D255" s="48" t="s">
        <v>376</v>
      </c>
      <c r="E255" s="357">
        <f t="shared" si="481"/>
        <v>6500</v>
      </c>
      <c r="F255" s="51">
        <f t="shared" si="482"/>
        <v>1</v>
      </c>
      <c r="G255" s="508">
        <v>6500</v>
      </c>
      <c r="H255" s="359">
        <v>0</v>
      </c>
      <c r="I255" s="359">
        <v>0</v>
      </c>
      <c r="J255" s="359">
        <f>SUMIF('List of equipment'!$O$702:$O$804,'List of equipment'!O706,'List of equipment'!$Q$702:$Q$804)</f>
        <v>1</v>
      </c>
      <c r="K255" s="359">
        <v>0</v>
      </c>
      <c r="L255" s="359">
        <v>0</v>
      </c>
      <c r="M255" s="360">
        <v>0</v>
      </c>
      <c r="N255" s="357">
        <f t="shared" si="450"/>
        <v>0</v>
      </c>
      <c r="O255" s="521">
        <f t="shared" si="451"/>
        <v>0</v>
      </c>
      <c r="P255" s="537">
        <f t="shared" si="452"/>
        <v>6500</v>
      </c>
      <c r="Q255" s="557">
        <v>0</v>
      </c>
      <c r="R255" s="558">
        <f t="shared" ref="R255:AB255" si="485">Q255</f>
        <v>0</v>
      </c>
      <c r="S255" s="558">
        <f t="shared" si="485"/>
        <v>0</v>
      </c>
      <c r="T255" s="558">
        <f t="shared" si="485"/>
        <v>0</v>
      </c>
      <c r="U255" s="558">
        <f t="shared" si="485"/>
        <v>0</v>
      </c>
      <c r="V255" s="558">
        <f t="shared" si="485"/>
        <v>0</v>
      </c>
      <c r="W255" s="558">
        <f t="shared" si="485"/>
        <v>0</v>
      </c>
      <c r="X255" s="558">
        <f t="shared" si="485"/>
        <v>0</v>
      </c>
      <c r="Y255" s="558">
        <f t="shared" si="485"/>
        <v>0</v>
      </c>
      <c r="Z255" s="558">
        <f t="shared" si="485"/>
        <v>0</v>
      </c>
      <c r="AA255" s="558">
        <f t="shared" si="485"/>
        <v>0</v>
      </c>
      <c r="AB255" s="561">
        <f t="shared" si="485"/>
        <v>0</v>
      </c>
      <c r="AC255" s="595"/>
      <c r="AD255" s="595"/>
      <c r="AE255" s="25"/>
      <c r="AF255" s="25"/>
      <c r="AG255" s="25"/>
      <c r="AH255" s="25"/>
      <c r="AI255" s="25"/>
      <c r="AJ255" s="25"/>
      <c r="AK255" s="25"/>
      <c r="AL255" s="25"/>
      <c r="AM255" s="25"/>
      <c r="AN255" s="25"/>
      <c r="AO255" s="25"/>
      <c r="AP255" s="25"/>
    </row>
    <row r="256" spans="1:42" ht="15">
      <c r="A256" s="331"/>
      <c r="B256" s="853" t="s">
        <v>1742</v>
      </c>
      <c r="C256" s="47" t="s">
        <v>1743</v>
      </c>
      <c r="D256" s="48" t="s">
        <v>376</v>
      </c>
      <c r="E256" s="357">
        <f t="shared" si="481"/>
        <v>1000</v>
      </c>
      <c r="F256" s="51">
        <f t="shared" si="482"/>
        <v>1</v>
      </c>
      <c r="G256" s="508">
        <v>1000</v>
      </c>
      <c r="H256" s="359">
        <v>0</v>
      </c>
      <c r="I256" s="359">
        <v>0</v>
      </c>
      <c r="J256" s="359">
        <f>SUMIF('List of equipment'!$O$702:$O$804,'List of equipment'!O707,'List of equipment'!$Q$702:$Q$804)</f>
        <v>1</v>
      </c>
      <c r="K256" s="359">
        <v>0</v>
      </c>
      <c r="L256" s="359">
        <v>0</v>
      </c>
      <c r="M256" s="360">
        <v>0</v>
      </c>
      <c r="N256" s="357">
        <f t="shared" si="450"/>
        <v>0</v>
      </c>
      <c r="O256" s="521">
        <f t="shared" si="451"/>
        <v>0</v>
      </c>
      <c r="P256" s="537">
        <f t="shared" si="452"/>
        <v>1000</v>
      </c>
      <c r="Q256" s="557">
        <v>0</v>
      </c>
      <c r="R256" s="558">
        <f t="shared" ref="R256:AB256" si="486">Q256</f>
        <v>0</v>
      </c>
      <c r="S256" s="558">
        <f t="shared" si="486"/>
        <v>0</v>
      </c>
      <c r="T256" s="558">
        <f t="shared" si="486"/>
        <v>0</v>
      </c>
      <c r="U256" s="558">
        <f t="shared" si="486"/>
        <v>0</v>
      </c>
      <c r="V256" s="558">
        <f t="shared" si="486"/>
        <v>0</v>
      </c>
      <c r="W256" s="558">
        <f t="shared" si="486"/>
        <v>0</v>
      </c>
      <c r="X256" s="558">
        <f t="shared" si="486"/>
        <v>0</v>
      </c>
      <c r="Y256" s="558">
        <f t="shared" si="486"/>
        <v>0</v>
      </c>
      <c r="Z256" s="558">
        <f t="shared" si="486"/>
        <v>0</v>
      </c>
      <c r="AA256" s="558">
        <f t="shared" si="486"/>
        <v>0</v>
      </c>
      <c r="AB256" s="561">
        <f t="shared" si="486"/>
        <v>0</v>
      </c>
      <c r="AC256" s="595"/>
      <c r="AD256" s="595"/>
      <c r="AE256" s="25"/>
      <c r="AF256" s="25"/>
      <c r="AG256" s="25"/>
      <c r="AH256" s="25"/>
      <c r="AI256" s="25"/>
      <c r="AJ256" s="25"/>
      <c r="AK256" s="25"/>
      <c r="AL256" s="25"/>
      <c r="AM256" s="25"/>
      <c r="AN256" s="25"/>
      <c r="AO256" s="25"/>
      <c r="AP256" s="25"/>
    </row>
    <row r="257" spans="1:42" ht="15">
      <c r="A257" s="331"/>
      <c r="B257" s="853" t="s">
        <v>1742</v>
      </c>
      <c r="C257" s="47" t="s">
        <v>1744</v>
      </c>
      <c r="D257" s="48" t="s">
        <v>376</v>
      </c>
      <c r="E257" s="357">
        <f t="shared" si="481"/>
        <v>2000</v>
      </c>
      <c r="F257" s="51">
        <f t="shared" si="482"/>
        <v>2</v>
      </c>
      <c r="G257" s="508">
        <v>1000</v>
      </c>
      <c r="H257" s="359">
        <v>0</v>
      </c>
      <c r="I257" s="359">
        <v>0</v>
      </c>
      <c r="J257" s="359">
        <f>SUMIF('List of equipment'!$O$702:$O$804,'List of equipment'!O708,'List of equipment'!$Q$702:$Q$804)</f>
        <v>2</v>
      </c>
      <c r="K257" s="359">
        <v>0</v>
      </c>
      <c r="L257" s="359">
        <v>0</v>
      </c>
      <c r="M257" s="360">
        <v>0</v>
      </c>
      <c r="N257" s="357">
        <f t="shared" si="450"/>
        <v>0</v>
      </c>
      <c r="O257" s="521">
        <f t="shared" si="451"/>
        <v>0</v>
      </c>
      <c r="P257" s="537">
        <f t="shared" si="452"/>
        <v>1000</v>
      </c>
      <c r="Q257" s="557">
        <v>0</v>
      </c>
      <c r="R257" s="558">
        <f t="shared" ref="R257:AB257" si="487">Q257</f>
        <v>0</v>
      </c>
      <c r="S257" s="558">
        <f t="shared" si="487"/>
        <v>0</v>
      </c>
      <c r="T257" s="558">
        <f t="shared" si="487"/>
        <v>0</v>
      </c>
      <c r="U257" s="558">
        <f t="shared" si="487"/>
        <v>0</v>
      </c>
      <c r="V257" s="558">
        <f t="shared" si="487"/>
        <v>0</v>
      </c>
      <c r="W257" s="558">
        <f t="shared" si="487"/>
        <v>0</v>
      </c>
      <c r="X257" s="558">
        <f t="shared" si="487"/>
        <v>0</v>
      </c>
      <c r="Y257" s="558">
        <f t="shared" si="487"/>
        <v>0</v>
      </c>
      <c r="Z257" s="558">
        <f t="shared" si="487"/>
        <v>0</v>
      </c>
      <c r="AA257" s="558">
        <f t="shared" si="487"/>
        <v>0</v>
      </c>
      <c r="AB257" s="561">
        <f t="shared" si="487"/>
        <v>0</v>
      </c>
      <c r="AC257" s="595"/>
      <c r="AD257" s="595"/>
      <c r="AE257" s="25"/>
      <c r="AF257" s="25"/>
      <c r="AG257" s="25"/>
      <c r="AH257" s="25"/>
      <c r="AI257" s="25"/>
      <c r="AJ257" s="25"/>
      <c r="AK257" s="25"/>
      <c r="AL257" s="25"/>
      <c r="AM257" s="25"/>
      <c r="AN257" s="25"/>
      <c r="AO257" s="25"/>
      <c r="AP257" s="25"/>
    </row>
    <row r="258" spans="1:42" ht="15">
      <c r="A258" s="331"/>
      <c r="B258" s="853" t="s">
        <v>434</v>
      </c>
      <c r="C258" s="47" t="s">
        <v>1740</v>
      </c>
      <c r="D258" s="48" t="s">
        <v>376</v>
      </c>
      <c r="E258" s="357">
        <f t="shared" si="481"/>
        <v>700</v>
      </c>
      <c r="F258" s="51">
        <f t="shared" si="482"/>
        <v>2</v>
      </c>
      <c r="G258" s="508">
        <v>350</v>
      </c>
      <c r="H258" s="359">
        <v>0</v>
      </c>
      <c r="I258" s="359">
        <v>0</v>
      </c>
      <c r="J258" s="359">
        <f>SUMIF('List of equipment'!$O$702:$O$804,'List of equipment'!O710,'List of equipment'!$Q$702:$Q$804)</f>
        <v>2</v>
      </c>
      <c r="K258" s="359">
        <v>0</v>
      </c>
      <c r="L258" s="359">
        <v>0</v>
      </c>
      <c r="M258" s="360">
        <v>0</v>
      </c>
      <c r="N258" s="357">
        <f t="shared" si="450"/>
        <v>0</v>
      </c>
      <c r="O258" s="521">
        <f t="shared" si="451"/>
        <v>0</v>
      </c>
      <c r="P258" s="537">
        <f t="shared" si="452"/>
        <v>350</v>
      </c>
      <c r="Q258" s="557">
        <v>0</v>
      </c>
      <c r="R258" s="558">
        <f t="shared" ref="R258:AB258" si="488">Q258</f>
        <v>0</v>
      </c>
      <c r="S258" s="558">
        <f t="shared" si="488"/>
        <v>0</v>
      </c>
      <c r="T258" s="558">
        <f t="shared" si="488"/>
        <v>0</v>
      </c>
      <c r="U258" s="558">
        <f t="shared" si="488"/>
        <v>0</v>
      </c>
      <c r="V258" s="558">
        <f t="shared" si="488"/>
        <v>0</v>
      </c>
      <c r="W258" s="558">
        <f t="shared" si="488"/>
        <v>0</v>
      </c>
      <c r="X258" s="558">
        <f t="shared" si="488"/>
        <v>0</v>
      </c>
      <c r="Y258" s="558">
        <f t="shared" si="488"/>
        <v>0</v>
      </c>
      <c r="Z258" s="558">
        <f t="shared" si="488"/>
        <v>0</v>
      </c>
      <c r="AA258" s="558">
        <f t="shared" si="488"/>
        <v>0</v>
      </c>
      <c r="AB258" s="561">
        <f t="shared" si="488"/>
        <v>0</v>
      </c>
      <c r="AC258" s="595"/>
      <c r="AD258" s="595"/>
      <c r="AE258" s="25"/>
      <c r="AF258" s="25"/>
      <c r="AG258" s="25"/>
      <c r="AH258" s="25"/>
      <c r="AI258" s="25"/>
      <c r="AJ258" s="25"/>
      <c r="AK258" s="25"/>
      <c r="AL258" s="25"/>
      <c r="AM258" s="25"/>
      <c r="AN258" s="25"/>
      <c r="AO258" s="25"/>
      <c r="AP258" s="25"/>
    </row>
    <row r="259" spans="1:42" ht="15">
      <c r="A259" s="331"/>
      <c r="B259" s="853" t="s">
        <v>1524</v>
      </c>
      <c r="C259" s="47" t="s">
        <v>1741</v>
      </c>
      <c r="D259" s="48" t="s">
        <v>376</v>
      </c>
      <c r="E259" s="357">
        <f t="shared" si="481"/>
        <v>1000</v>
      </c>
      <c r="F259" s="51">
        <f t="shared" si="482"/>
        <v>1</v>
      </c>
      <c r="G259" s="508">
        <v>1000</v>
      </c>
      <c r="H259" s="359">
        <v>0</v>
      </c>
      <c r="I259" s="359">
        <v>0</v>
      </c>
      <c r="J259" s="359">
        <f>SUMIF('List of equipment'!$O$702:$O$804,'List of equipment'!O723,'List of equipment'!$Q$702:$Q$804)</f>
        <v>1</v>
      </c>
      <c r="K259" s="359">
        <v>0</v>
      </c>
      <c r="L259" s="359">
        <v>0</v>
      </c>
      <c r="M259" s="360">
        <v>0</v>
      </c>
      <c r="N259" s="357">
        <f t="shared" si="450"/>
        <v>0</v>
      </c>
      <c r="O259" s="521">
        <f t="shared" si="451"/>
        <v>0</v>
      </c>
      <c r="P259" s="537">
        <f t="shared" si="452"/>
        <v>1000</v>
      </c>
      <c r="Q259" s="557">
        <v>0</v>
      </c>
      <c r="R259" s="558">
        <f t="shared" ref="R259:AB259" si="489">Q259</f>
        <v>0</v>
      </c>
      <c r="S259" s="558">
        <f t="shared" si="489"/>
        <v>0</v>
      </c>
      <c r="T259" s="558">
        <f t="shared" si="489"/>
        <v>0</v>
      </c>
      <c r="U259" s="558">
        <f t="shared" si="489"/>
        <v>0</v>
      </c>
      <c r="V259" s="558">
        <f t="shared" si="489"/>
        <v>0</v>
      </c>
      <c r="W259" s="558">
        <f t="shared" si="489"/>
        <v>0</v>
      </c>
      <c r="X259" s="558">
        <f t="shared" si="489"/>
        <v>0</v>
      </c>
      <c r="Y259" s="558">
        <f t="shared" si="489"/>
        <v>0</v>
      </c>
      <c r="Z259" s="558">
        <f t="shared" si="489"/>
        <v>0</v>
      </c>
      <c r="AA259" s="558">
        <f t="shared" si="489"/>
        <v>0</v>
      </c>
      <c r="AB259" s="561">
        <f t="shared" si="489"/>
        <v>0</v>
      </c>
      <c r="AC259" s="595"/>
      <c r="AD259" s="595"/>
      <c r="AE259" s="25"/>
      <c r="AF259" s="25"/>
      <c r="AG259" s="25"/>
      <c r="AH259" s="25"/>
      <c r="AI259" s="25"/>
      <c r="AJ259" s="25"/>
      <c r="AK259" s="25"/>
      <c r="AL259" s="25"/>
      <c r="AM259" s="25"/>
      <c r="AN259" s="25"/>
      <c r="AO259" s="25"/>
      <c r="AP259" s="25"/>
    </row>
    <row r="260" spans="1:42" ht="15">
      <c r="A260" s="331"/>
      <c r="B260" s="853" t="s">
        <v>1525</v>
      </c>
      <c r="C260" s="47" t="s">
        <v>1734</v>
      </c>
      <c r="D260" s="48" t="s">
        <v>376</v>
      </c>
      <c r="E260" s="357">
        <f t="shared" si="481"/>
        <v>300</v>
      </c>
      <c r="F260" s="51">
        <f t="shared" si="482"/>
        <v>3</v>
      </c>
      <c r="G260" s="508">
        <v>100</v>
      </c>
      <c r="H260" s="359">
        <v>0</v>
      </c>
      <c r="I260" s="359">
        <v>0</v>
      </c>
      <c r="J260" s="359">
        <f>SUMIF('List of equipment'!$O$702:$O$804,'List of equipment'!O724,'List of equipment'!$Q$702:$Q$804)</f>
        <v>3</v>
      </c>
      <c r="K260" s="359">
        <v>0</v>
      </c>
      <c r="L260" s="359">
        <v>0</v>
      </c>
      <c r="M260" s="360">
        <v>0</v>
      </c>
      <c r="N260" s="357">
        <f t="shared" si="450"/>
        <v>0</v>
      </c>
      <c r="O260" s="521">
        <f t="shared" si="451"/>
        <v>0</v>
      </c>
      <c r="P260" s="537">
        <f t="shared" si="452"/>
        <v>100</v>
      </c>
      <c r="Q260" s="557">
        <v>0</v>
      </c>
      <c r="R260" s="558">
        <f t="shared" ref="R260:AB260" si="490">Q260</f>
        <v>0</v>
      </c>
      <c r="S260" s="558">
        <f t="shared" si="490"/>
        <v>0</v>
      </c>
      <c r="T260" s="558">
        <f t="shared" si="490"/>
        <v>0</v>
      </c>
      <c r="U260" s="558">
        <f t="shared" si="490"/>
        <v>0</v>
      </c>
      <c r="V260" s="558">
        <f t="shared" si="490"/>
        <v>0</v>
      </c>
      <c r="W260" s="558">
        <f t="shared" si="490"/>
        <v>0</v>
      </c>
      <c r="X260" s="558">
        <f t="shared" si="490"/>
        <v>0</v>
      </c>
      <c r="Y260" s="558">
        <f t="shared" si="490"/>
        <v>0</v>
      </c>
      <c r="Z260" s="558">
        <f t="shared" si="490"/>
        <v>0</v>
      </c>
      <c r="AA260" s="558">
        <f t="shared" si="490"/>
        <v>0</v>
      </c>
      <c r="AB260" s="561">
        <f t="shared" si="490"/>
        <v>0</v>
      </c>
      <c r="AC260" s="595"/>
      <c r="AD260" s="595"/>
      <c r="AE260" s="25"/>
      <c r="AF260" s="25"/>
      <c r="AG260" s="25"/>
      <c r="AH260" s="25"/>
      <c r="AI260" s="25"/>
      <c r="AJ260" s="25"/>
      <c r="AK260" s="25"/>
      <c r="AL260" s="25"/>
      <c r="AM260" s="25"/>
      <c r="AN260" s="25"/>
      <c r="AO260" s="25"/>
      <c r="AP260" s="25"/>
    </row>
    <row r="261" spans="1:42" ht="15">
      <c r="A261" s="331"/>
      <c r="B261" s="853" t="s">
        <v>1528</v>
      </c>
      <c r="C261" s="47" t="s">
        <v>1735</v>
      </c>
      <c r="D261" s="48" t="s">
        <v>376</v>
      </c>
      <c r="E261" s="357">
        <f t="shared" si="481"/>
        <v>200</v>
      </c>
      <c r="F261" s="51">
        <f t="shared" si="482"/>
        <v>1</v>
      </c>
      <c r="G261" s="508">
        <v>200</v>
      </c>
      <c r="H261" s="359">
        <v>0</v>
      </c>
      <c r="I261" s="359">
        <v>0</v>
      </c>
      <c r="J261" s="359">
        <f>SUMIF('List of equipment'!$O$702:$O$804,'List of equipment'!O727,'List of equipment'!$Q$702:$Q$804)</f>
        <v>1</v>
      </c>
      <c r="K261" s="359">
        <v>0</v>
      </c>
      <c r="L261" s="359">
        <v>0</v>
      </c>
      <c r="M261" s="360">
        <v>0</v>
      </c>
      <c r="N261" s="357">
        <f t="shared" si="450"/>
        <v>0</v>
      </c>
      <c r="O261" s="521">
        <f t="shared" si="451"/>
        <v>0</v>
      </c>
      <c r="P261" s="537">
        <f t="shared" si="452"/>
        <v>200</v>
      </c>
      <c r="Q261" s="557">
        <v>0</v>
      </c>
      <c r="R261" s="558">
        <f t="shared" ref="R261:AB261" si="491">Q261</f>
        <v>0</v>
      </c>
      <c r="S261" s="558">
        <f t="shared" si="491"/>
        <v>0</v>
      </c>
      <c r="T261" s="558">
        <f t="shared" si="491"/>
        <v>0</v>
      </c>
      <c r="U261" s="558">
        <f t="shared" si="491"/>
        <v>0</v>
      </c>
      <c r="V261" s="558">
        <f t="shared" si="491"/>
        <v>0</v>
      </c>
      <c r="W261" s="558">
        <f t="shared" si="491"/>
        <v>0</v>
      </c>
      <c r="X261" s="558">
        <f t="shared" si="491"/>
        <v>0</v>
      </c>
      <c r="Y261" s="558">
        <f t="shared" si="491"/>
        <v>0</v>
      </c>
      <c r="Z261" s="558">
        <f t="shared" si="491"/>
        <v>0</v>
      </c>
      <c r="AA261" s="558">
        <f t="shared" si="491"/>
        <v>0</v>
      </c>
      <c r="AB261" s="561">
        <f t="shared" si="491"/>
        <v>0</v>
      </c>
      <c r="AC261" s="595"/>
      <c r="AD261" s="595"/>
      <c r="AE261" s="25"/>
      <c r="AF261" s="25"/>
      <c r="AG261" s="25"/>
      <c r="AH261" s="25"/>
      <c r="AI261" s="25"/>
      <c r="AJ261" s="25"/>
      <c r="AK261" s="25"/>
      <c r="AL261" s="25"/>
      <c r="AM261" s="25"/>
      <c r="AN261" s="25"/>
      <c r="AO261" s="25"/>
      <c r="AP261" s="25"/>
    </row>
    <row r="262" spans="1:42" ht="15">
      <c r="A262" s="331"/>
      <c r="B262" s="853" t="s">
        <v>1636</v>
      </c>
      <c r="C262" s="47" t="s">
        <v>1636</v>
      </c>
      <c r="D262" s="48" t="s">
        <v>376</v>
      </c>
      <c r="E262" s="357">
        <f t="shared" si="481"/>
        <v>10500</v>
      </c>
      <c r="F262" s="51">
        <f t="shared" si="482"/>
        <v>3</v>
      </c>
      <c r="G262" s="508">
        <v>3500</v>
      </c>
      <c r="H262" s="359">
        <v>0</v>
      </c>
      <c r="I262" s="359">
        <v>0</v>
      </c>
      <c r="J262" s="359">
        <f>SUMIF('List of equipment'!$O$702:$O$804,'List of equipment'!O773,'List of equipment'!$Q$702:$Q$804)</f>
        <v>3</v>
      </c>
      <c r="K262" s="359">
        <v>0</v>
      </c>
      <c r="L262" s="359">
        <v>0</v>
      </c>
      <c r="M262" s="360">
        <v>0</v>
      </c>
      <c r="N262" s="357">
        <f t="shared" si="450"/>
        <v>0</v>
      </c>
      <c r="O262" s="521">
        <f t="shared" si="451"/>
        <v>0</v>
      </c>
      <c r="P262" s="537">
        <f t="shared" si="452"/>
        <v>3500</v>
      </c>
      <c r="Q262" s="557">
        <v>0</v>
      </c>
      <c r="R262" s="558">
        <f t="shared" ref="R262:AB262" si="492">Q262</f>
        <v>0</v>
      </c>
      <c r="S262" s="558">
        <f t="shared" si="492"/>
        <v>0</v>
      </c>
      <c r="T262" s="558">
        <f t="shared" si="492"/>
        <v>0</v>
      </c>
      <c r="U262" s="558">
        <f t="shared" si="492"/>
        <v>0</v>
      </c>
      <c r="V262" s="558">
        <f t="shared" si="492"/>
        <v>0</v>
      </c>
      <c r="W262" s="558">
        <f t="shared" si="492"/>
        <v>0</v>
      </c>
      <c r="X262" s="558">
        <f t="shared" si="492"/>
        <v>0</v>
      </c>
      <c r="Y262" s="558">
        <f t="shared" si="492"/>
        <v>0</v>
      </c>
      <c r="Z262" s="558">
        <f t="shared" si="492"/>
        <v>0</v>
      </c>
      <c r="AA262" s="558">
        <f t="shared" si="492"/>
        <v>0</v>
      </c>
      <c r="AB262" s="561">
        <f t="shared" si="492"/>
        <v>0</v>
      </c>
      <c r="AC262" s="595"/>
      <c r="AD262" s="595"/>
      <c r="AE262" s="25"/>
      <c r="AF262" s="25"/>
      <c r="AG262" s="25"/>
      <c r="AH262" s="25"/>
      <c r="AI262" s="25"/>
      <c r="AJ262" s="25"/>
      <c r="AK262" s="25"/>
      <c r="AL262" s="25"/>
      <c r="AM262" s="25"/>
      <c r="AN262" s="25"/>
      <c r="AO262" s="25"/>
      <c r="AP262" s="25"/>
    </row>
    <row r="263" spans="1:42" ht="15">
      <c r="A263" s="331"/>
      <c r="B263" s="853" t="s">
        <v>1430</v>
      </c>
      <c r="C263" s="47" t="s">
        <v>1736</v>
      </c>
      <c r="D263" s="48" t="s">
        <v>376</v>
      </c>
      <c r="E263" s="357">
        <f t="shared" si="481"/>
        <v>300</v>
      </c>
      <c r="F263" s="51">
        <f t="shared" si="482"/>
        <v>10</v>
      </c>
      <c r="G263" s="508">
        <v>30</v>
      </c>
      <c r="H263" s="359">
        <v>0</v>
      </c>
      <c r="I263" s="359">
        <v>0</v>
      </c>
      <c r="J263" s="359">
        <f>SUMIF('List of equipment'!$O$702:$O$804,'List of equipment'!O774,'List of equipment'!$Q$702:$Q$804)</f>
        <v>10</v>
      </c>
      <c r="K263" s="359">
        <v>0</v>
      </c>
      <c r="L263" s="359">
        <v>0</v>
      </c>
      <c r="M263" s="360">
        <v>0</v>
      </c>
      <c r="N263" s="357">
        <f t="shared" si="450"/>
        <v>0</v>
      </c>
      <c r="O263" s="521">
        <f t="shared" si="451"/>
        <v>0</v>
      </c>
      <c r="P263" s="537">
        <f t="shared" si="452"/>
        <v>30</v>
      </c>
      <c r="Q263" s="557">
        <v>0</v>
      </c>
      <c r="R263" s="558">
        <f t="shared" ref="R263:AB263" si="493">Q263</f>
        <v>0</v>
      </c>
      <c r="S263" s="558">
        <f t="shared" si="493"/>
        <v>0</v>
      </c>
      <c r="T263" s="558">
        <f t="shared" si="493"/>
        <v>0</v>
      </c>
      <c r="U263" s="558">
        <f t="shared" si="493"/>
        <v>0</v>
      </c>
      <c r="V263" s="558">
        <f t="shared" si="493"/>
        <v>0</v>
      </c>
      <c r="W263" s="558">
        <f t="shared" si="493"/>
        <v>0</v>
      </c>
      <c r="X263" s="558">
        <f t="shared" si="493"/>
        <v>0</v>
      </c>
      <c r="Y263" s="558">
        <f t="shared" si="493"/>
        <v>0</v>
      </c>
      <c r="Z263" s="558">
        <f t="shared" si="493"/>
        <v>0</v>
      </c>
      <c r="AA263" s="558">
        <f t="shared" si="493"/>
        <v>0</v>
      </c>
      <c r="AB263" s="561">
        <f t="shared" si="493"/>
        <v>0</v>
      </c>
      <c r="AC263" s="595"/>
      <c r="AD263" s="595"/>
      <c r="AE263" s="25"/>
      <c r="AF263" s="25"/>
      <c r="AG263" s="25"/>
      <c r="AH263" s="25"/>
      <c r="AI263" s="25"/>
      <c r="AJ263" s="25"/>
      <c r="AK263" s="25"/>
      <c r="AL263" s="25"/>
      <c r="AM263" s="25"/>
      <c r="AN263" s="25"/>
      <c r="AO263" s="25"/>
      <c r="AP263" s="25"/>
    </row>
    <row r="264" spans="1:42" s="25" customFormat="1" ht="15">
      <c r="A264" s="331"/>
      <c r="B264" s="453"/>
      <c r="C264" s="499" t="s">
        <v>234</v>
      </c>
      <c r="D264" s="524"/>
      <c r="E264" s="370">
        <f>SUM(E230:E263)</f>
        <v>59730</v>
      </c>
      <c r="F264" s="503"/>
      <c r="G264" s="525"/>
      <c r="H264" s="503"/>
      <c r="I264" s="503"/>
      <c r="J264" s="503"/>
      <c r="K264" s="503"/>
      <c r="L264" s="503"/>
      <c r="M264" s="504"/>
      <c r="N264" s="370">
        <f>SUM(N230:N263)</f>
        <v>0</v>
      </c>
      <c r="O264" s="526"/>
      <c r="P264" s="546"/>
      <c r="Q264" s="527"/>
      <c r="R264" s="527"/>
      <c r="S264" s="528"/>
      <c r="T264" s="524"/>
      <c r="U264" s="524"/>
      <c r="V264" s="524"/>
      <c r="W264" s="524"/>
      <c r="X264" s="524"/>
      <c r="Y264" s="524"/>
      <c r="Z264" s="524"/>
      <c r="AA264" s="524"/>
      <c r="AB264" s="529"/>
      <c r="AC264" s="595"/>
      <c r="AD264" s="595"/>
    </row>
    <row r="265" spans="1:42" s="48" customFormat="1" ht="15">
      <c r="A265" s="511"/>
      <c r="B265" s="641"/>
      <c r="E265" s="456"/>
      <c r="F265" s="51"/>
      <c r="G265" s="512"/>
      <c r="H265" s="51"/>
      <c r="I265" s="51"/>
      <c r="J265" s="51"/>
      <c r="K265" s="51"/>
      <c r="L265" s="51"/>
      <c r="M265" s="51"/>
      <c r="N265" s="349"/>
      <c r="O265" s="350"/>
      <c r="P265" s="351"/>
      <c r="Q265" s="352"/>
      <c r="R265" s="352"/>
      <c r="S265" s="348"/>
      <c r="AC265" s="597"/>
      <c r="AD265" s="597"/>
    </row>
    <row r="266" spans="1:42" ht="15">
      <c r="A266" s="331"/>
      <c r="C266" s="534" t="s">
        <v>226</v>
      </c>
      <c r="D266" s="496"/>
      <c r="E266" s="363"/>
      <c r="F266" s="364"/>
      <c r="G266" s="505"/>
      <c r="H266" s="364"/>
      <c r="I266" s="364"/>
      <c r="J266" s="364"/>
      <c r="K266" s="364"/>
      <c r="L266" s="364"/>
      <c r="M266" s="365"/>
      <c r="N266" s="522"/>
      <c r="O266" s="513"/>
      <c r="P266" s="535"/>
      <c r="Q266" s="514"/>
      <c r="R266" s="514"/>
      <c r="S266" s="515"/>
      <c r="T266" s="455"/>
      <c r="U266" s="455"/>
      <c r="V266" s="455"/>
      <c r="W266" s="455"/>
      <c r="X266" s="455"/>
      <c r="Y266" s="455"/>
      <c r="Z266" s="455"/>
      <c r="AA266" s="455"/>
      <c r="AB266" s="516"/>
      <c r="AC266" s="595"/>
      <c r="AD266" s="595"/>
      <c r="AE266" s="25"/>
      <c r="AF266" s="25"/>
      <c r="AG266" s="25"/>
      <c r="AH266" s="25"/>
      <c r="AI266" s="25"/>
      <c r="AJ266" s="25"/>
      <c r="AK266" s="25"/>
      <c r="AL266" s="25"/>
      <c r="AM266" s="25"/>
      <c r="AN266" s="25"/>
      <c r="AO266" s="25"/>
      <c r="AP266" s="25"/>
    </row>
    <row r="267" spans="1:42" ht="15">
      <c r="A267" s="331"/>
      <c r="C267" s="498" t="s">
        <v>697</v>
      </c>
      <c r="D267" s="314"/>
      <c r="E267" s="357"/>
      <c r="F267" s="51"/>
      <c r="G267" s="507"/>
      <c r="H267" s="51"/>
      <c r="I267" s="51"/>
      <c r="J267" s="51"/>
      <c r="K267" s="51"/>
      <c r="L267" s="51"/>
      <c r="M267" s="368"/>
      <c r="N267" s="523"/>
      <c r="O267" s="350"/>
      <c r="P267" s="536"/>
      <c r="Q267" s="352"/>
      <c r="R267" s="352"/>
      <c r="S267" s="348"/>
      <c r="V267" s="25"/>
      <c r="W267" s="25"/>
      <c r="X267" s="25"/>
      <c r="Y267" s="25"/>
      <c r="Z267" s="25"/>
      <c r="AA267" s="25"/>
      <c r="AB267" s="372"/>
      <c r="AC267" s="595"/>
      <c r="AD267" s="595"/>
      <c r="AE267" s="25"/>
      <c r="AF267" s="25"/>
      <c r="AG267" s="25"/>
      <c r="AH267" s="25"/>
      <c r="AI267" s="25"/>
      <c r="AJ267" s="25"/>
      <c r="AK267" s="25"/>
      <c r="AL267" s="25"/>
      <c r="AM267" s="25"/>
      <c r="AN267" s="25"/>
      <c r="AO267" s="25"/>
      <c r="AP267" s="25"/>
    </row>
    <row r="268" spans="1:42">
      <c r="A268" s="331"/>
      <c r="C268" s="47" t="s">
        <v>679</v>
      </c>
      <c r="D268" s="314"/>
      <c r="E268" s="357">
        <f t="shared" ref="E268" ca="1" si="494">F268*G268</f>
        <v>50</v>
      </c>
      <c r="F268" s="51">
        <f t="shared" ref="F268" ca="1" si="495">SUM(H268:M268)</f>
        <v>1</v>
      </c>
      <c r="G268" s="508">
        <v>50</v>
      </c>
      <c r="H268" s="359">
        <v>0</v>
      </c>
      <c r="I268" s="359">
        <v>0</v>
      </c>
      <c r="J268" s="359">
        <f ca="1">SUMIF('List of equipment'!$D$149:$D$253,'List of equipment'!D201,'List of equipment'!$F$149:$F$246)</f>
        <v>1</v>
      </c>
      <c r="K268" s="359">
        <v>0</v>
      </c>
      <c r="L268" s="359">
        <v>0</v>
      </c>
      <c r="M268" s="360">
        <v>0</v>
      </c>
      <c r="N268" s="357">
        <f t="shared" ref="N268:N281" ca="1" si="496">O268*P268</f>
        <v>50</v>
      </c>
      <c r="O268" s="358">
        <f t="shared" ref="O268:O281" si="497">SUM(Q268:AB268)</f>
        <v>1</v>
      </c>
      <c r="P268" s="537">
        <f ca="1">E268</f>
        <v>50</v>
      </c>
      <c r="Q268" s="359">
        <v>0</v>
      </c>
      <c r="R268" s="359">
        <v>0</v>
      </c>
      <c r="S268" s="359">
        <v>0</v>
      </c>
      <c r="T268" s="359">
        <v>0</v>
      </c>
      <c r="U268" s="359">
        <v>0</v>
      </c>
      <c r="V268" s="359">
        <v>1</v>
      </c>
      <c r="W268" s="359">
        <v>0</v>
      </c>
      <c r="X268" s="359">
        <v>0</v>
      </c>
      <c r="Y268" s="359">
        <v>0</v>
      </c>
      <c r="Z268" s="359">
        <v>0</v>
      </c>
      <c r="AA268" s="359">
        <v>0</v>
      </c>
      <c r="AB268" s="360">
        <f>AA268</f>
        <v>0</v>
      </c>
      <c r="AC268" s="595">
        <f>'List of equipment'!$Q$107</f>
        <v>2</v>
      </c>
      <c r="AD268" s="595" t="str">
        <f t="shared" ref="AD268:AD314" ca="1" si="498">IF(SUM(F268,O268)-AC268&gt;=0,"True","False")</f>
        <v>True</v>
      </c>
      <c r="AE268" s="25"/>
      <c r="AF268" s="25"/>
      <c r="AG268" s="25"/>
      <c r="AH268" s="25"/>
      <c r="AI268" s="25"/>
      <c r="AJ268" s="25"/>
      <c r="AK268" s="25"/>
      <c r="AL268" s="25"/>
      <c r="AM268" s="25"/>
      <c r="AN268" s="25"/>
      <c r="AO268" s="25"/>
      <c r="AP268" s="25"/>
    </row>
    <row r="269" spans="1:42">
      <c r="A269" s="331"/>
      <c r="C269" s="47" t="s">
        <v>686</v>
      </c>
      <c r="D269" s="314"/>
      <c r="E269" s="357">
        <f t="shared" ref="E269:E282" ca="1" si="499">F269*G269</f>
        <v>1500</v>
      </c>
      <c r="F269" s="51">
        <f t="shared" ref="F269:F282" ca="1" si="500">SUM(H269:M269)</f>
        <v>1</v>
      </c>
      <c r="G269" s="508">
        <v>1500</v>
      </c>
      <c r="H269" s="359">
        <v>0</v>
      </c>
      <c r="I269" s="359">
        <v>0</v>
      </c>
      <c r="J269" s="359">
        <f ca="1">SUMIF('List of equipment'!$D$149:$D$253,'List of equipment'!D218,'List of equipment'!$F$149:$F$246)</f>
        <v>1</v>
      </c>
      <c r="K269" s="359">
        <v>0</v>
      </c>
      <c r="L269" s="359">
        <v>0</v>
      </c>
      <c r="M269" s="360">
        <v>0</v>
      </c>
      <c r="N269" s="357">
        <f t="shared" ca="1" si="496"/>
        <v>1500</v>
      </c>
      <c r="O269" s="358">
        <f t="shared" si="497"/>
        <v>1</v>
      </c>
      <c r="P269" s="537">
        <f t="shared" ref="P269:P314" ca="1" si="501">E269</f>
        <v>1500</v>
      </c>
      <c r="Q269" s="359">
        <v>0</v>
      </c>
      <c r="R269" s="359">
        <v>0</v>
      </c>
      <c r="S269" s="359">
        <v>1</v>
      </c>
      <c r="T269" s="359">
        <v>0</v>
      </c>
      <c r="U269" s="359">
        <v>0</v>
      </c>
      <c r="V269" s="359">
        <v>0</v>
      </c>
      <c r="W269" s="359">
        <v>0</v>
      </c>
      <c r="X269" s="359">
        <v>0</v>
      </c>
      <c r="Y269" s="359">
        <v>0</v>
      </c>
      <c r="Z269" s="359">
        <v>0</v>
      </c>
      <c r="AA269" s="359">
        <v>0</v>
      </c>
      <c r="AB269" s="360">
        <f t="shared" ref="AB269:AB279" si="502">AA269</f>
        <v>0</v>
      </c>
      <c r="AC269" s="595">
        <f>'List of equipment'!$Q$110</f>
        <v>1</v>
      </c>
      <c r="AD269" s="595" t="str">
        <f t="shared" ca="1" si="498"/>
        <v>True</v>
      </c>
      <c r="AE269" s="25"/>
      <c r="AF269" s="25"/>
      <c r="AG269" s="25"/>
      <c r="AH269" s="25"/>
      <c r="AI269" s="25"/>
      <c r="AJ269" s="25"/>
      <c r="AK269" s="25"/>
      <c r="AL269" s="25"/>
      <c r="AM269" s="25"/>
      <c r="AN269" s="25"/>
      <c r="AO269" s="25"/>
      <c r="AP269" s="25"/>
    </row>
    <row r="270" spans="1:42">
      <c r="A270" s="331"/>
      <c r="C270" s="47" t="s">
        <v>701</v>
      </c>
      <c r="D270" s="314"/>
      <c r="E270" s="357">
        <f t="shared" ca="1" si="499"/>
        <v>20000</v>
      </c>
      <c r="F270" s="51">
        <f t="shared" ca="1" si="500"/>
        <v>1</v>
      </c>
      <c r="G270" s="508">
        <v>20000</v>
      </c>
      <c r="H270" s="359">
        <v>0</v>
      </c>
      <c r="I270" s="359">
        <v>0</v>
      </c>
      <c r="J270" s="359">
        <f ca="1">SUMIF('List of equipment'!$D$149:$D$253,'List of equipment'!D203,'List of equipment'!$F$149:$F$246)</f>
        <v>1</v>
      </c>
      <c r="K270" s="359">
        <v>0</v>
      </c>
      <c r="L270" s="359">
        <v>0</v>
      </c>
      <c r="M270" s="360">
        <v>0</v>
      </c>
      <c r="N270" s="357">
        <f t="shared" ca="1" si="496"/>
        <v>20000</v>
      </c>
      <c r="O270" s="358">
        <f t="shared" si="497"/>
        <v>1</v>
      </c>
      <c r="P270" s="537">
        <f t="shared" ca="1" si="501"/>
        <v>20000</v>
      </c>
      <c r="Q270" s="359">
        <v>0</v>
      </c>
      <c r="R270" s="359">
        <v>0</v>
      </c>
      <c r="S270" s="359">
        <v>1</v>
      </c>
      <c r="T270" s="359">
        <v>0</v>
      </c>
      <c r="U270" s="359">
        <v>0</v>
      </c>
      <c r="V270" s="359">
        <v>0</v>
      </c>
      <c r="W270" s="359">
        <v>0</v>
      </c>
      <c r="X270" s="359">
        <v>0</v>
      </c>
      <c r="Y270" s="359">
        <v>0</v>
      </c>
      <c r="Z270" s="359">
        <v>0</v>
      </c>
      <c r="AA270" s="359">
        <v>0</v>
      </c>
      <c r="AB270" s="360">
        <f t="shared" si="502"/>
        <v>0</v>
      </c>
      <c r="AC270" s="595">
        <f>'List of equipment'!$Q$111</f>
        <v>1</v>
      </c>
      <c r="AD270" s="595" t="str">
        <f t="shared" ca="1" si="498"/>
        <v>True</v>
      </c>
      <c r="AE270" s="25"/>
      <c r="AF270" s="25"/>
      <c r="AG270" s="25"/>
      <c r="AH270" s="25"/>
      <c r="AI270" s="25"/>
      <c r="AJ270" s="25"/>
      <c r="AK270" s="25"/>
      <c r="AL270" s="25"/>
      <c r="AM270" s="25"/>
      <c r="AN270" s="25"/>
      <c r="AO270" s="25"/>
      <c r="AP270" s="25"/>
    </row>
    <row r="271" spans="1:42">
      <c r="A271" s="331"/>
      <c r="C271" s="47" t="s">
        <v>683</v>
      </c>
      <c r="D271" s="314"/>
      <c r="E271" s="357">
        <f t="shared" ca="1" si="499"/>
        <v>200</v>
      </c>
      <c r="F271" s="51">
        <f t="shared" ca="1" si="500"/>
        <v>1</v>
      </c>
      <c r="G271" s="508">
        <v>200</v>
      </c>
      <c r="H271" s="359">
        <v>0</v>
      </c>
      <c r="I271" s="359">
        <v>0</v>
      </c>
      <c r="J271" s="359">
        <f ca="1">SUMIF('List of equipment'!$D$149:$D$253,'List of equipment'!D203,'List of equipment'!$F$149:$F$246)</f>
        <v>1</v>
      </c>
      <c r="K271" s="359">
        <v>0</v>
      </c>
      <c r="L271" s="359">
        <v>0</v>
      </c>
      <c r="M271" s="360">
        <v>0</v>
      </c>
      <c r="N271" s="357">
        <f t="shared" ca="1" si="496"/>
        <v>200</v>
      </c>
      <c r="O271" s="358">
        <f t="shared" si="497"/>
        <v>1</v>
      </c>
      <c r="P271" s="537">
        <f t="shared" ca="1" si="501"/>
        <v>200</v>
      </c>
      <c r="Q271" s="359">
        <v>0</v>
      </c>
      <c r="R271" s="359">
        <v>0</v>
      </c>
      <c r="S271" s="359">
        <v>1</v>
      </c>
      <c r="T271" s="359">
        <v>0</v>
      </c>
      <c r="U271" s="359">
        <v>0</v>
      </c>
      <c r="V271" s="359">
        <v>0</v>
      </c>
      <c r="W271" s="359">
        <v>0</v>
      </c>
      <c r="X271" s="359">
        <v>0</v>
      </c>
      <c r="Y271" s="359">
        <v>0</v>
      </c>
      <c r="Z271" s="359">
        <v>0</v>
      </c>
      <c r="AA271" s="359">
        <v>0</v>
      </c>
      <c r="AB271" s="360">
        <f t="shared" si="502"/>
        <v>0</v>
      </c>
      <c r="AC271" s="595">
        <f>'List of equipment'!$Q$112</f>
        <v>1</v>
      </c>
      <c r="AD271" s="595" t="str">
        <f t="shared" ca="1" si="498"/>
        <v>True</v>
      </c>
      <c r="AE271" s="25"/>
      <c r="AF271" s="25"/>
      <c r="AG271" s="25"/>
      <c r="AH271" s="25"/>
      <c r="AI271" s="25"/>
      <c r="AJ271" s="25"/>
      <c r="AK271" s="25"/>
      <c r="AL271" s="25"/>
      <c r="AM271" s="25"/>
      <c r="AN271" s="25"/>
      <c r="AO271" s="25"/>
      <c r="AP271" s="25"/>
    </row>
    <row r="272" spans="1:42">
      <c r="A272" s="331"/>
      <c r="C272" s="47" t="s">
        <v>684</v>
      </c>
      <c r="D272" s="314"/>
      <c r="E272" s="357">
        <f t="shared" ca="1" si="499"/>
        <v>100</v>
      </c>
      <c r="F272" s="51">
        <f t="shared" ca="1" si="500"/>
        <v>1</v>
      </c>
      <c r="G272" s="508">
        <v>100</v>
      </c>
      <c r="H272" s="359">
        <v>0</v>
      </c>
      <c r="I272" s="359">
        <v>0</v>
      </c>
      <c r="J272" s="359">
        <f ca="1">SUMIF('List of equipment'!$D$149:$D$253,'List of equipment'!D217,'List of equipment'!$F$149:$F$246)</f>
        <v>1</v>
      </c>
      <c r="K272" s="359">
        <v>0</v>
      </c>
      <c r="L272" s="359">
        <v>0</v>
      </c>
      <c r="M272" s="360">
        <v>0</v>
      </c>
      <c r="N272" s="357">
        <f t="shared" ca="1" si="496"/>
        <v>100</v>
      </c>
      <c r="O272" s="358">
        <f t="shared" si="497"/>
        <v>1</v>
      </c>
      <c r="P272" s="537">
        <f t="shared" ca="1" si="501"/>
        <v>100</v>
      </c>
      <c r="Q272" s="359">
        <v>0</v>
      </c>
      <c r="R272" s="359">
        <v>0</v>
      </c>
      <c r="S272" s="359">
        <v>1</v>
      </c>
      <c r="T272" s="359">
        <v>0</v>
      </c>
      <c r="U272" s="359">
        <v>0</v>
      </c>
      <c r="V272" s="359">
        <v>0</v>
      </c>
      <c r="W272" s="359">
        <v>0</v>
      </c>
      <c r="X272" s="359">
        <v>0</v>
      </c>
      <c r="Y272" s="359">
        <v>0</v>
      </c>
      <c r="Z272" s="359">
        <v>0</v>
      </c>
      <c r="AA272" s="359">
        <v>0</v>
      </c>
      <c r="AB272" s="360">
        <f t="shared" si="502"/>
        <v>0</v>
      </c>
      <c r="AC272" s="595">
        <f>'List of equipment'!$Q$113</f>
        <v>1</v>
      </c>
      <c r="AD272" s="595" t="str">
        <f t="shared" ca="1" si="498"/>
        <v>True</v>
      </c>
      <c r="AE272" s="25"/>
      <c r="AF272" s="25"/>
      <c r="AG272" s="25"/>
      <c r="AH272" s="25"/>
      <c r="AI272" s="25"/>
      <c r="AJ272" s="25"/>
      <c r="AK272" s="25"/>
      <c r="AL272" s="25"/>
      <c r="AM272" s="25"/>
      <c r="AN272" s="25"/>
      <c r="AO272" s="25"/>
      <c r="AP272" s="25"/>
    </row>
    <row r="273" spans="1:42">
      <c r="A273" s="331"/>
      <c r="C273" s="47" t="s">
        <v>681</v>
      </c>
      <c r="D273" s="314"/>
      <c r="E273" s="357">
        <f t="shared" si="499"/>
        <v>4900</v>
      </c>
      <c r="F273" s="51">
        <f t="shared" si="500"/>
        <v>1</v>
      </c>
      <c r="G273" s="508">
        <v>4900</v>
      </c>
      <c r="H273" s="359">
        <v>0</v>
      </c>
      <c r="I273" s="359">
        <v>0</v>
      </c>
      <c r="J273" s="359">
        <v>1</v>
      </c>
      <c r="K273" s="359">
        <v>0</v>
      </c>
      <c r="L273" s="359">
        <v>0</v>
      </c>
      <c r="M273" s="360">
        <v>0</v>
      </c>
      <c r="N273" s="357">
        <f t="shared" si="496"/>
        <v>4900</v>
      </c>
      <c r="O273" s="358">
        <f t="shared" si="497"/>
        <v>1</v>
      </c>
      <c r="P273" s="537">
        <f t="shared" si="501"/>
        <v>4900</v>
      </c>
      <c r="Q273" s="359">
        <f t="shared" ref="Q273:Q291" si="503">IF(AC273&lt;=F273,0,AC273-F273)</f>
        <v>0</v>
      </c>
      <c r="R273" s="359">
        <v>0</v>
      </c>
      <c r="S273" s="359">
        <v>1</v>
      </c>
      <c r="T273" s="359">
        <v>0</v>
      </c>
      <c r="U273" s="359">
        <v>0</v>
      </c>
      <c r="V273" s="359">
        <v>0</v>
      </c>
      <c r="W273" s="359">
        <v>0</v>
      </c>
      <c r="X273" s="359">
        <v>0</v>
      </c>
      <c r="Y273" s="359">
        <v>0</v>
      </c>
      <c r="Z273" s="359">
        <v>0</v>
      </c>
      <c r="AA273" s="359">
        <v>0</v>
      </c>
      <c r="AB273" s="360">
        <f t="shared" si="502"/>
        <v>0</v>
      </c>
      <c r="AC273" s="595">
        <f>'List of equipment'!$Q$115</f>
        <v>1</v>
      </c>
      <c r="AD273" s="595" t="str">
        <f t="shared" si="498"/>
        <v>True</v>
      </c>
      <c r="AE273" s="25"/>
      <c r="AF273" s="25"/>
      <c r="AG273" s="25"/>
      <c r="AH273" s="25"/>
      <c r="AI273" s="25"/>
      <c r="AJ273" s="25"/>
      <c r="AK273" s="25"/>
      <c r="AL273" s="25"/>
      <c r="AM273" s="25"/>
      <c r="AN273" s="25"/>
      <c r="AO273" s="25"/>
      <c r="AP273" s="25"/>
    </row>
    <row r="274" spans="1:42">
      <c r="A274" s="331"/>
      <c r="C274" s="47" t="s">
        <v>685</v>
      </c>
      <c r="D274" s="314"/>
      <c r="E274" s="357">
        <f t="shared" ca="1" si="499"/>
        <v>14000</v>
      </c>
      <c r="F274" s="51">
        <f t="shared" ca="1" si="500"/>
        <v>2</v>
      </c>
      <c r="G274" s="508">
        <v>7000</v>
      </c>
      <c r="H274" s="359">
        <v>0</v>
      </c>
      <c r="I274" s="359">
        <v>0</v>
      </c>
      <c r="J274" s="359">
        <f ca="1">SUMIF('List of equipment'!$D$149:$D$253,'List of equipment'!D202,'List of equipment'!$F$149:$F$246)</f>
        <v>2</v>
      </c>
      <c r="K274" s="359">
        <v>0</v>
      </c>
      <c r="L274" s="359">
        <v>0</v>
      </c>
      <c r="M274" s="360">
        <v>0</v>
      </c>
      <c r="N274" s="357">
        <f t="shared" ca="1" si="496"/>
        <v>14000</v>
      </c>
      <c r="O274" s="358">
        <f t="shared" ca="1" si="497"/>
        <v>1</v>
      </c>
      <c r="P274" s="537">
        <f t="shared" ca="1" si="501"/>
        <v>14000</v>
      </c>
      <c r="Q274" s="359">
        <f t="shared" ca="1" si="503"/>
        <v>1</v>
      </c>
      <c r="R274" s="359">
        <v>0</v>
      </c>
      <c r="S274" s="359">
        <v>0</v>
      </c>
      <c r="T274" s="359">
        <v>0</v>
      </c>
      <c r="U274" s="359">
        <v>0</v>
      </c>
      <c r="V274" s="359">
        <v>0</v>
      </c>
      <c r="W274" s="359">
        <v>0</v>
      </c>
      <c r="X274" s="359">
        <v>0</v>
      </c>
      <c r="Y274" s="359">
        <v>0</v>
      </c>
      <c r="Z274" s="359">
        <v>0</v>
      </c>
      <c r="AA274" s="359">
        <v>0</v>
      </c>
      <c r="AB274" s="360">
        <f t="shared" si="502"/>
        <v>0</v>
      </c>
      <c r="AC274" s="595">
        <f>'List of equipment'!$Q$116</f>
        <v>3</v>
      </c>
      <c r="AD274" s="595" t="str">
        <f t="shared" ca="1" si="498"/>
        <v>True</v>
      </c>
      <c r="AE274" s="25"/>
      <c r="AF274" s="25"/>
      <c r="AG274" s="25"/>
      <c r="AH274" s="25"/>
      <c r="AI274" s="25"/>
      <c r="AJ274" s="25"/>
      <c r="AK274" s="25"/>
      <c r="AL274" s="25"/>
      <c r="AM274" s="25"/>
      <c r="AN274" s="25"/>
      <c r="AO274" s="25"/>
      <c r="AP274" s="25"/>
    </row>
    <row r="275" spans="1:42">
      <c r="A275" s="331"/>
      <c r="C275" s="47" t="s">
        <v>688</v>
      </c>
      <c r="D275" s="314"/>
      <c r="E275" s="357">
        <f t="shared" si="499"/>
        <v>30</v>
      </c>
      <c r="F275" s="51">
        <f t="shared" si="500"/>
        <v>1</v>
      </c>
      <c r="G275" s="508">
        <v>30</v>
      </c>
      <c r="H275" s="359">
        <v>0</v>
      </c>
      <c r="I275" s="359">
        <v>0</v>
      </c>
      <c r="J275" s="359">
        <v>1</v>
      </c>
      <c r="K275" s="359">
        <v>0</v>
      </c>
      <c r="L275" s="359">
        <v>0</v>
      </c>
      <c r="M275" s="360">
        <v>0</v>
      </c>
      <c r="N275" s="357">
        <f t="shared" si="496"/>
        <v>30</v>
      </c>
      <c r="O275" s="358">
        <f t="shared" si="497"/>
        <v>1</v>
      </c>
      <c r="P275" s="537">
        <f t="shared" si="501"/>
        <v>30</v>
      </c>
      <c r="Q275" s="359">
        <f t="shared" si="503"/>
        <v>0</v>
      </c>
      <c r="R275" s="359">
        <v>0</v>
      </c>
      <c r="S275" s="359">
        <v>1</v>
      </c>
      <c r="T275" s="359">
        <v>0</v>
      </c>
      <c r="U275" s="359">
        <v>0</v>
      </c>
      <c r="V275" s="359">
        <v>0</v>
      </c>
      <c r="W275" s="359">
        <v>0</v>
      </c>
      <c r="X275" s="359">
        <v>0</v>
      </c>
      <c r="Y275" s="359">
        <v>0</v>
      </c>
      <c r="Z275" s="359">
        <v>0</v>
      </c>
      <c r="AA275" s="359">
        <v>0</v>
      </c>
      <c r="AB275" s="360">
        <f t="shared" si="502"/>
        <v>0</v>
      </c>
      <c r="AC275" s="595">
        <f>'List of equipment'!$Q$40</f>
        <v>1</v>
      </c>
      <c r="AD275" s="595" t="str">
        <f t="shared" si="498"/>
        <v>True</v>
      </c>
      <c r="AE275" s="25"/>
      <c r="AF275" s="25"/>
      <c r="AG275" s="25"/>
      <c r="AH275" s="25"/>
      <c r="AI275" s="25"/>
      <c r="AJ275" s="25"/>
      <c r="AK275" s="25"/>
      <c r="AL275" s="25"/>
      <c r="AM275" s="25"/>
      <c r="AN275" s="25"/>
      <c r="AO275" s="25"/>
      <c r="AP275" s="25"/>
    </row>
    <row r="276" spans="1:42">
      <c r="A276" s="331"/>
      <c r="C276" s="47" t="s">
        <v>699</v>
      </c>
      <c r="D276" s="314"/>
      <c r="E276" s="357">
        <f t="shared" ca="1" si="499"/>
        <v>1000</v>
      </c>
      <c r="F276" s="51">
        <f t="shared" ca="1" si="500"/>
        <v>1</v>
      </c>
      <c r="G276" s="508">
        <v>1000</v>
      </c>
      <c r="H276" s="359">
        <v>0</v>
      </c>
      <c r="I276" s="359">
        <v>0</v>
      </c>
      <c r="J276" s="359">
        <f ca="1">SUMIF('List of equipment'!$D$149:$D$253,C276,'List of equipment'!$F$149:$F$246)</f>
        <v>1</v>
      </c>
      <c r="K276" s="359">
        <v>0</v>
      </c>
      <c r="L276" s="359">
        <v>0</v>
      </c>
      <c r="M276" s="360">
        <v>0</v>
      </c>
      <c r="N276" s="357">
        <f t="shared" ca="1" si="496"/>
        <v>1000</v>
      </c>
      <c r="O276" s="358">
        <f t="shared" ca="1" si="497"/>
        <v>1</v>
      </c>
      <c r="P276" s="537">
        <f t="shared" ca="1" si="501"/>
        <v>1000</v>
      </c>
      <c r="Q276" s="359">
        <f t="shared" ca="1" si="503"/>
        <v>1</v>
      </c>
      <c r="R276" s="359">
        <v>0</v>
      </c>
      <c r="S276" s="359">
        <v>0</v>
      </c>
      <c r="T276" s="359">
        <v>0</v>
      </c>
      <c r="U276" s="359">
        <v>0</v>
      </c>
      <c r="V276" s="359">
        <v>0</v>
      </c>
      <c r="W276" s="359">
        <v>0</v>
      </c>
      <c r="X276" s="359">
        <v>0</v>
      </c>
      <c r="Y276" s="359">
        <v>0</v>
      </c>
      <c r="Z276" s="359">
        <v>0</v>
      </c>
      <c r="AA276" s="359">
        <v>0</v>
      </c>
      <c r="AB276" s="360">
        <f t="shared" si="502"/>
        <v>0</v>
      </c>
      <c r="AC276" s="595">
        <f>'List of equipment'!$Q$41</f>
        <v>2</v>
      </c>
      <c r="AD276" s="595" t="str">
        <f t="shared" ca="1" si="498"/>
        <v>True</v>
      </c>
      <c r="AE276" s="25"/>
      <c r="AF276" s="25"/>
      <c r="AG276" s="25"/>
      <c r="AH276" s="25"/>
      <c r="AI276" s="25"/>
      <c r="AJ276" s="25"/>
      <c r="AK276" s="25"/>
      <c r="AL276" s="25"/>
      <c r="AM276" s="25"/>
      <c r="AN276" s="25"/>
      <c r="AO276" s="25"/>
      <c r="AP276" s="25"/>
    </row>
    <row r="277" spans="1:42">
      <c r="A277" s="331"/>
      <c r="C277" s="47" t="s">
        <v>1624</v>
      </c>
      <c r="D277" s="314"/>
      <c r="E277" s="357">
        <f t="shared" ca="1" si="499"/>
        <v>32000</v>
      </c>
      <c r="F277" s="51">
        <f t="shared" ca="1" si="500"/>
        <v>4</v>
      </c>
      <c r="G277" s="508">
        <v>8000</v>
      </c>
      <c r="H277" s="359">
        <v>0</v>
      </c>
      <c r="I277" s="359">
        <v>0</v>
      </c>
      <c r="J277" s="359">
        <f ca="1">SUMIF('List of equipment'!$D$149:$D$253,'List of equipment'!$D$149,'List of equipment'!$F$149:$F$246)</f>
        <v>4</v>
      </c>
      <c r="K277" s="359">
        <v>0</v>
      </c>
      <c r="L277" s="359">
        <v>0</v>
      </c>
      <c r="M277" s="360">
        <v>0</v>
      </c>
      <c r="N277" s="357">
        <f t="shared" ca="1" si="496"/>
        <v>32000</v>
      </c>
      <c r="O277" s="358">
        <f t="shared" ca="1" si="497"/>
        <v>1</v>
      </c>
      <c r="P277" s="537">
        <f t="shared" ca="1" si="501"/>
        <v>32000</v>
      </c>
      <c r="Q277" s="359">
        <f t="shared" ca="1" si="503"/>
        <v>0</v>
      </c>
      <c r="R277" s="359">
        <v>0</v>
      </c>
      <c r="S277" s="359">
        <v>1</v>
      </c>
      <c r="T277" s="359">
        <v>0</v>
      </c>
      <c r="U277" s="359">
        <v>0</v>
      </c>
      <c r="V277" s="359">
        <v>0</v>
      </c>
      <c r="W277" s="359">
        <v>0</v>
      </c>
      <c r="X277" s="359">
        <v>0</v>
      </c>
      <c r="Y277" s="359">
        <v>0</v>
      </c>
      <c r="Z277" s="359">
        <v>0</v>
      </c>
      <c r="AA277" s="359">
        <v>0</v>
      </c>
      <c r="AB277" s="360">
        <f t="shared" si="502"/>
        <v>0</v>
      </c>
      <c r="AC277" s="595">
        <f>'List of equipment'!$Q$42</f>
        <v>2</v>
      </c>
      <c r="AD277" s="595" t="str">
        <f t="shared" ca="1" si="498"/>
        <v>True</v>
      </c>
      <c r="AE277" s="25"/>
      <c r="AF277" s="25"/>
      <c r="AG277" s="25"/>
      <c r="AH277" s="25"/>
      <c r="AI277" s="25"/>
      <c r="AJ277" s="25"/>
      <c r="AK277" s="25"/>
      <c r="AL277" s="25"/>
      <c r="AM277" s="25"/>
      <c r="AN277" s="25"/>
      <c r="AO277" s="25"/>
      <c r="AP277" s="25"/>
    </row>
    <row r="278" spans="1:42">
      <c r="A278" s="331"/>
      <c r="C278" s="47" t="s">
        <v>784</v>
      </c>
      <c r="D278" s="314"/>
      <c r="E278" s="357">
        <f t="shared" ca="1" si="499"/>
        <v>600</v>
      </c>
      <c r="F278" s="51">
        <f t="shared" ca="1" si="500"/>
        <v>1</v>
      </c>
      <c r="G278" s="508">
        <v>600</v>
      </c>
      <c r="H278" s="359">
        <v>0</v>
      </c>
      <c r="I278" s="359">
        <v>0</v>
      </c>
      <c r="J278" s="359">
        <f ca="1">SUMIF('List of equipment'!$D$149:$D$253,'List of equipment'!D208,'List of equipment'!$F$149:$F$246)</f>
        <v>1</v>
      </c>
      <c r="K278" s="359">
        <v>0</v>
      </c>
      <c r="L278" s="359">
        <v>0</v>
      </c>
      <c r="M278" s="360">
        <v>0</v>
      </c>
      <c r="N278" s="357">
        <f t="shared" ca="1" si="496"/>
        <v>600</v>
      </c>
      <c r="O278" s="358">
        <f t="shared" ca="1" si="497"/>
        <v>1</v>
      </c>
      <c r="P278" s="537">
        <f t="shared" ca="1" si="501"/>
        <v>600</v>
      </c>
      <c r="Q278" s="359">
        <f t="shared" ca="1" si="503"/>
        <v>1</v>
      </c>
      <c r="R278" s="359">
        <v>0</v>
      </c>
      <c r="S278" s="359">
        <v>0</v>
      </c>
      <c r="T278" s="359">
        <v>0</v>
      </c>
      <c r="U278" s="359">
        <v>0</v>
      </c>
      <c r="V278" s="359">
        <v>0</v>
      </c>
      <c r="W278" s="359">
        <v>0</v>
      </c>
      <c r="X278" s="359">
        <v>0</v>
      </c>
      <c r="Y278" s="359">
        <v>0</v>
      </c>
      <c r="Z278" s="359">
        <v>0</v>
      </c>
      <c r="AA278" s="359">
        <v>0</v>
      </c>
      <c r="AB278" s="360">
        <f t="shared" si="502"/>
        <v>0</v>
      </c>
      <c r="AC278" s="595">
        <f>'List of equipment'!$Q$43</f>
        <v>2</v>
      </c>
      <c r="AD278" s="595" t="str">
        <f t="shared" ca="1" si="498"/>
        <v>True</v>
      </c>
      <c r="AE278" s="25"/>
      <c r="AF278" s="25"/>
      <c r="AG278" s="25"/>
      <c r="AH278" s="25"/>
      <c r="AI278" s="25"/>
      <c r="AJ278" s="25"/>
      <c r="AK278" s="25"/>
      <c r="AL278" s="25"/>
      <c r="AM278" s="25"/>
      <c r="AN278" s="25"/>
      <c r="AO278" s="25"/>
      <c r="AP278" s="25"/>
    </row>
    <row r="279" spans="1:42">
      <c r="A279" s="331"/>
      <c r="C279" s="47" t="s">
        <v>791</v>
      </c>
      <c r="D279" s="314"/>
      <c r="E279" s="357">
        <f t="shared" si="499"/>
        <v>200</v>
      </c>
      <c r="F279" s="51">
        <f t="shared" si="500"/>
        <v>1</v>
      </c>
      <c r="G279" s="508">
        <v>200</v>
      </c>
      <c r="H279" s="359">
        <v>0</v>
      </c>
      <c r="I279" s="359">
        <v>0</v>
      </c>
      <c r="J279" s="359">
        <v>1</v>
      </c>
      <c r="K279" s="359">
        <v>0</v>
      </c>
      <c r="L279" s="359">
        <v>0</v>
      </c>
      <c r="M279" s="360">
        <v>0</v>
      </c>
      <c r="N279" s="357">
        <f t="shared" si="496"/>
        <v>200</v>
      </c>
      <c r="O279" s="358">
        <f t="shared" si="497"/>
        <v>1</v>
      </c>
      <c r="P279" s="537">
        <f t="shared" si="501"/>
        <v>200</v>
      </c>
      <c r="Q279" s="359">
        <f t="shared" si="503"/>
        <v>1</v>
      </c>
      <c r="R279" s="359">
        <v>0</v>
      </c>
      <c r="S279" s="359">
        <v>0</v>
      </c>
      <c r="T279" s="359">
        <v>0</v>
      </c>
      <c r="U279" s="359">
        <v>0</v>
      </c>
      <c r="V279" s="359">
        <v>0</v>
      </c>
      <c r="W279" s="359">
        <v>0</v>
      </c>
      <c r="X279" s="359">
        <v>0</v>
      </c>
      <c r="Y279" s="359">
        <v>0</v>
      </c>
      <c r="Z279" s="359">
        <v>0</v>
      </c>
      <c r="AA279" s="359">
        <v>0</v>
      </c>
      <c r="AB279" s="360">
        <f t="shared" si="502"/>
        <v>0</v>
      </c>
      <c r="AC279" s="595">
        <f>'List of equipment'!$Q$44</f>
        <v>2</v>
      </c>
      <c r="AD279" s="595" t="str">
        <f t="shared" si="498"/>
        <v>True</v>
      </c>
      <c r="AE279" s="25"/>
      <c r="AF279" s="25"/>
      <c r="AG279" s="25"/>
      <c r="AH279" s="25"/>
      <c r="AI279" s="25"/>
      <c r="AJ279" s="25"/>
      <c r="AK279" s="25"/>
      <c r="AL279" s="25"/>
      <c r="AM279" s="25"/>
      <c r="AN279" s="25"/>
      <c r="AO279" s="25"/>
      <c r="AP279" s="25"/>
    </row>
    <row r="280" spans="1:42">
      <c r="A280" s="331"/>
      <c r="C280" s="47" t="s">
        <v>700</v>
      </c>
      <c r="D280" s="314"/>
      <c r="E280" s="357">
        <f t="shared" ca="1" si="499"/>
        <v>4500</v>
      </c>
      <c r="F280" s="51">
        <f t="shared" ca="1" si="500"/>
        <v>2</v>
      </c>
      <c r="G280" s="508">
        <v>2250</v>
      </c>
      <c r="H280" s="359">
        <v>0</v>
      </c>
      <c r="I280" s="359">
        <v>0</v>
      </c>
      <c r="J280" s="359">
        <f ca="1">SUMIF('List of equipment'!$D$149:$D$253,'List of equipment'!D211,'List of equipment'!$F$149:$F$246)</f>
        <v>2</v>
      </c>
      <c r="K280" s="359">
        <v>0</v>
      </c>
      <c r="L280" s="359">
        <v>0</v>
      </c>
      <c r="M280" s="360">
        <v>0</v>
      </c>
      <c r="N280" s="357">
        <f t="shared" ca="1" si="496"/>
        <v>27000</v>
      </c>
      <c r="O280" s="358">
        <f t="shared" si="497"/>
        <v>6</v>
      </c>
      <c r="P280" s="537">
        <f t="shared" ca="1" si="501"/>
        <v>4500</v>
      </c>
      <c r="Q280" s="359">
        <v>0</v>
      </c>
      <c r="R280" s="359">
        <v>0</v>
      </c>
      <c r="S280" s="359">
        <v>1</v>
      </c>
      <c r="T280" s="359">
        <v>0</v>
      </c>
      <c r="U280" s="359">
        <v>0</v>
      </c>
      <c r="V280" s="359">
        <v>0</v>
      </c>
      <c r="W280" s="359">
        <v>0</v>
      </c>
      <c r="X280" s="359">
        <v>0</v>
      </c>
      <c r="Y280" s="359">
        <v>0</v>
      </c>
      <c r="Z280" s="359">
        <v>0</v>
      </c>
      <c r="AA280" s="359">
        <v>0</v>
      </c>
      <c r="AB280" s="360">
        <v>5</v>
      </c>
      <c r="AC280" s="595">
        <f>'List of equipment'!$Q$45</f>
        <v>12</v>
      </c>
      <c r="AD280" s="595" t="str">
        <f t="shared" ca="1" si="498"/>
        <v>False</v>
      </c>
      <c r="AE280" s="25"/>
      <c r="AF280" s="25"/>
      <c r="AG280" s="25"/>
      <c r="AH280" s="25"/>
      <c r="AI280" s="25"/>
      <c r="AJ280" s="25"/>
      <c r="AK280" s="25"/>
      <c r="AL280" s="25"/>
      <c r="AM280" s="25"/>
      <c r="AN280" s="25"/>
      <c r="AO280" s="25"/>
      <c r="AP280" s="25"/>
    </row>
    <row r="281" spans="1:42">
      <c r="A281" s="331"/>
      <c r="B281" s="453" t="s">
        <v>1724</v>
      </c>
      <c r="C281" s="47" t="s">
        <v>1723</v>
      </c>
      <c r="D281" s="314"/>
      <c r="E281" s="357">
        <f t="shared" si="499"/>
        <v>3000</v>
      </c>
      <c r="F281" s="51">
        <f t="shared" si="500"/>
        <v>1</v>
      </c>
      <c r="G281" s="508">
        <v>3000</v>
      </c>
      <c r="H281" s="359">
        <v>0</v>
      </c>
      <c r="I281" s="359">
        <v>0</v>
      </c>
      <c r="J281" s="359">
        <v>1</v>
      </c>
      <c r="K281" s="359">
        <v>0</v>
      </c>
      <c r="L281" s="359">
        <v>0</v>
      </c>
      <c r="M281" s="360">
        <v>0</v>
      </c>
      <c r="N281" s="357">
        <f t="shared" si="496"/>
        <v>6000</v>
      </c>
      <c r="O281" s="358">
        <f t="shared" si="497"/>
        <v>2</v>
      </c>
      <c r="P281" s="537">
        <f t="shared" si="501"/>
        <v>3000</v>
      </c>
      <c r="Q281" s="359">
        <v>0</v>
      </c>
      <c r="R281" s="359">
        <v>0</v>
      </c>
      <c r="S281" s="359">
        <v>1</v>
      </c>
      <c r="T281" s="359">
        <v>0</v>
      </c>
      <c r="U281" s="359">
        <v>1</v>
      </c>
      <c r="V281" s="359">
        <v>0</v>
      </c>
      <c r="W281" s="359">
        <v>0</v>
      </c>
      <c r="X281" s="359">
        <v>0</v>
      </c>
      <c r="Y281" s="359">
        <v>0</v>
      </c>
      <c r="Z281" s="359">
        <v>0</v>
      </c>
      <c r="AA281" s="359">
        <v>0</v>
      </c>
      <c r="AB281" s="360">
        <v>0</v>
      </c>
      <c r="AC281" s="595">
        <f>'List of equipment'!$Q$46</f>
        <v>5</v>
      </c>
      <c r="AD281" s="595" t="str">
        <f t="shared" si="498"/>
        <v>False</v>
      </c>
      <c r="AE281" s="25"/>
      <c r="AF281" s="25"/>
      <c r="AG281" s="25"/>
      <c r="AH281" s="25"/>
      <c r="AI281" s="25"/>
      <c r="AJ281" s="25"/>
      <c r="AK281" s="25"/>
      <c r="AL281" s="25"/>
      <c r="AM281" s="25"/>
      <c r="AN281" s="25"/>
      <c r="AO281" s="25"/>
      <c r="AP281" s="25"/>
    </row>
    <row r="282" spans="1:42">
      <c r="A282" s="331"/>
      <c r="C282" s="47" t="s">
        <v>702</v>
      </c>
      <c r="D282" s="314"/>
      <c r="E282" s="357">
        <f t="shared" ca="1" si="499"/>
        <v>14000</v>
      </c>
      <c r="F282" s="51">
        <f t="shared" ca="1" si="500"/>
        <v>2</v>
      </c>
      <c r="G282" s="508">
        <v>7000</v>
      </c>
      <c r="H282" s="359">
        <v>0</v>
      </c>
      <c r="I282" s="359">
        <v>0</v>
      </c>
      <c r="J282" s="359">
        <f ca="1">SUMIF('List of equipment'!$D$149:$D$253,'List of equipment'!D191,'List of equipment'!$F$149:$F$246)</f>
        <v>2</v>
      </c>
      <c r="K282" s="359">
        <v>0</v>
      </c>
      <c r="L282" s="359">
        <v>0</v>
      </c>
      <c r="M282" s="360">
        <v>0</v>
      </c>
      <c r="N282" s="357">
        <f t="shared" ref="N282:N283" ca="1" si="504">O282*P282</f>
        <v>14000</v>
      </c>
      <c r="O282" s="358">
        <f t="shared" ref="O282:O283" ca="1" si="505">SUM(Q282:AB282)</f>
        <v>1</v>
      </c>
      <c r="P282" s="537">
        <f t="shared" ca="1" si="501"/>
        <v>14000</v>
      </c>
      <c r="Q282" s="359">
        <f t="shared" ca="1" si="503"/>
        <v>0</v>
      </c>
      <c r="R282" s="359">
        <f>0</f>
        <v>0</v>
      </c>
      <c r="S282" s="359">
        <v>1</v>
      </c>
      <c r="T282" s="359">
        <f>0</f>
        <v>0</v>
      </c>
      <c r="U282" s="359">
        <f>0</f>
        <v>0</v>
      </c>
      <c r="V282" s="359">
        <f>0</f>
        <v>0</v>
      </c>
      <c r="W282" s="359">
        <f>0</f>
        <v>0</v>
      </c>
      <c r="X282" s="359">
        <f>0</f>
        <v>0</v>
      </c>
      <c r="Y282" s="359">
        <f>0</f>
        <v>0</v>
      </c>
      <c r="Z282" s="359">
        <f>0</f>
        <v>0</v>
      </c>
      <c r="AA282" s="359">
        <f>0</f>
        <v>0</v>
      </c>
      <c r="AB282" s="360">
        <f t="shared" ref="AB282" si="506">AA282</f>
        <v>0</v>
      </c>
      <c r="AC282" s="595">
        <f>'List of equipment'!$Q$107</f>
        <v>2</v>
      </c>
      <c r="AD282" s="595" t="str">
        <f t="shared" ca="1" si="498"/>
        <v>True</v>
      </c>
      <c r="AE282" s="25"/>
      <c r="AF282" s="25"/>
      <c r="AG282" s="25"/>
      <c r="AH282" s="25"/>
      <c r="AI282" s="25"/>
      <c r="AJ282" s="25"/>
      <c r="AK282" s="25"/>
      <c r="AL282" s="25"/>
      <c r="AM282" s="25"/>
      <c r="AN282" s="25"/>
      <c r="AO282" s="25"/>
      <c r="AP282" s="25"/>
    </row>
    <row r="283" spans="1:42">
      <c r="A283" s="331"/>
      <c r="C283" s="47" t="s">
        <v>1637</v>
      </c>
      <c r="D283" s="314"/>
      <c r="E283" s="357">
        <f t="shared" ref="E283" si="507">F283*G283</f>
        <v>21000</v>
      </c>
      <c r="F283" s="51">
        <f t="shared" ref="F283" si="508">SUM(H283:M283)</f>
        <v>3</v>
      </c>
      <c r="G283" s="508">
        <v>7000</v>
      </c>
      <c r="H283" s="359">
        <v>0</v>
      </c>
      <c r="I283" s="359">
        <v>0</v>
      </c>
      <c r="J283" s="359">
        <v>3</v>
      </c>
      <c r="K283" s="359">
        <v>0</v>
      </c>
      <c r="L283" s="359">
        <v>0</v>
      </c>
      <c r="M283" s="360">
        <v>0</v>
      </c>
      <c r="N283" s="357">
        <f t="shared" si="504"/>
        <v>21000</v>
      </c>
      <c r="O283" s="358">
        <f t="shared" si="505"/>
        <v>1</v>
      </c>
      <c r="P283" s="537">
        <f t="shared" si="501"/>
        <v>21000</v>
      </c>
      <c r="Q283" s="359">
        <f t="shared" ref="Q283" si="509">IF(AC283&lt;=F283,0,AC283-F283)</f>
        <v>0</v>
      </c>
      <c r="R283" s="359">
        <f>0</f>
        <v>0</v>
      </c>
      <c r="S283" s="359">
        <v>1</v>
      </c>
      <c r="T283" s="359">
        <f>0</f>
        <v>0</v>
      </c>
      <c r="U283" s="359">
        <f>0</f>
        <v>0</v>
      </c>
      <c r="V283" s="359">
        <f>0</f>
        <v>0</v>
      </c>
      <c r="W283" s="359">
        <f>0</f>
        <v>0</v>
      </c>
      <c r="X283" s="359">
        <f>0</f>
        <v>0</v>
      </c>
      <c r="Y283" s="359">
        <f>0</f>
        <v>0</v>
      </c>
      <c r="Z283" s="359">
        <f>0</f>
        <v>0</v>
      </c>
      <c r="AA283" s="359">
        <f>0</f>
        <v>0</v>
      </c>
      <c r="AB283" s="360">
        <f t="shared" ref="AB283" si="510">AA283</f>
        <v>0</v>
      </c>
      <c r="AC283" s="595"/>
      <c r="AD283" s="595"/>
      <c r="AE283" s="25"/>
      <c r="AF283" s="25"/>
      <c r="AG283" s="25"/>
      <c r="AH283" s="25"/>
      <c r="AI283" s="25"/>
      <c r="AJ283" s="25"/>
      <c r="AK283" s="25"/>
      <c r="AL283" s="25"/>
      <c r="AM283" s="25"/>
      <c r="AN283" s="25"/>
      <c r="AO283" s="25"/>
      <c r="AP283" s="25"/>
    </row>
    <row r="284" spans="1:42">
      <c r="A284" s="331"/>
      <c r="C284" s="498" t="s">
        <v>671</v>
      </c>
      <c r="D284" s="314"/>
      <c r="E284" s="357"/>
      <c r="F284" s="51"/>
      <c r="G284" s="507"/>
      <c r="H284" s="51"/>
      <c r="I284" s="51"/>
      <c r="J284" s="51"/>
      <c r="K284" s="51"/>
      <c r="L284" s="51"/>
      <c r="M284" s="368"/>
      <c r="N284" s="357"/>
      <c r="O284" s="358"/>
      <c r="P284" s="537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368"/>
      <c r="AC284" s="595"/>
      <c r="AD284" s="595"/>
      <c r="AE284" s="25"/>
      <c r="AF284" s="25"/>
      <c r="AG284" s="25"/>
      <c r="AH284" s="25"/>
      <c r="AI284" s="25"/>
      <c r="AJ284" s="25"/>
      <c r="AK284" s="25"/>
      <c r="AL284" s="25"/>
      <c r="AM284" s="25"/>
      <c r="AN284" s="25"/>
      <c r="AO284" s="25"/>
      <c r="AP284" s="25"/>
    </row>
    <row r="285" spans="1:42">
      <c r="A285" s="331"/>
      <c r="C285" s="47" t="s">
        <v>675</v>
      </c>
      <c r="D285" s="314"/>
      <c r="E285" s="357">
        <f t="shared" ref="E285" si="511">F285*G285</f>
        <v>200000</v>
      </c>
      <c r="F285" s="51">
        <f t="shared" ref="F285" si="512">SUM(H285:M285)</f>
        <v>1</v>
      </c>
      <c r="G285" s="508">
        <v>200000</v>
      </c>
      <c r="H285" s="359">
        <v>0</v>
      </c>
      <c r="I285" s="359">
        <v>0</v>
      </c>
      <c r="J285" s="359">
        <v>1</v>
      </c>
      <c r="K285" s="359">
        <v>0</v>
      </c>
      <c r="L285" s="359">
        <v>0</v>
      </c>
      <c r="M285" s="360">
        <f>L285</f>
        <v>0</v>
      </c>
      <c r="N285" s="357">
        <f t="shared" ref="N285:N290" si="513">O285*P285</f>
        <v>200000</v>
      </c>
      <c r="O285" s="358">
        <f t="shared" ref="O285:O290" si="514">SUM(Q285:AB285)</f>
        <v>1</v>
      </c>
      <c r="P285" s="537">
        <f t="shared" si="501"/>
        <v>200000</v>
      </c>
      <c r="Q285" s="359">
        <f t="shared" si="503"/>
        <v>0</v>
      </c>
      <c r="R285" s="359">
        <v>0</v>
      </c>
      <c r="S285" s="359">
        <v>1</v>
      </c>
      <c r="T285" s="359">
        <v>0</v>
      </c>
      <c r="U285" s="359">
        <v>0</v>
      </c>
      <c r="V285" s="359">
        <v>0</v>
      </c>
      <c r="W285" s="359">
        <v>0</v>
      </c>
      <c r="X285" s="359">
        <v>0</v>
      </c>
      <c r="Y285" s="359">
        <v>0</v>
      </c>
      <c r="Z285" s="359">
        <v>0</v>
      </c>
      <c r="AA285" s="359">
        <v>0</v>
      </c>
      <c r="AB285" s="360">
        <v>0</v>
      </c>
      <c r="AC285" s="595">
        <f>'List of equipment'!$Q$100</f>
        <v>1</v>
      </c>
      <c r="AD285" s="595" t="str">
        <f t="shared" si="498"/>
        <v>True</v>
      </c>
      <c r="AE285" s="25"/>
      <c r="AF285" s="25"/>
      <c r="AG285" s="25"/>
      <c r="AH285" s="25"/>
      <c r="AI285" s="25"/>
      <c r="AJ285" s="25"/>
      <c r="AK285" s="25"/>
      <c r="AL285" s="25"/>
      <c r="AM285" s="25"/>
      <c r="AN285" s="25"/>
      <c r="AO285" s="25"/>
      <c r="AP285" s="25"/>
    </row>
    <row r="286" spans="1:42">
      <c r="A286" s="331"/>
      <c r="C286" s="47" t="s">
        <v>676</v>
      </c>
      <c r="D286" s="314"/>
      <c r="E286" s="357">
        <f t="shared" ref="E286:E291" si="515">F286*G286</f>
        <v>116000</v>
      </c>
      <c r="F286" s="51">
        <f t="shared" ref="F286:F291" si="516">SUM(H286:M286)</f>
        <v>1</v>
      </c>
      <c r="G286" s="508">
        <v>116000</v>
      </c>
      <c r="H286" s="359">
        <v>0</v>
      </c>
      <c r="I286" s="359">
        <v>0</v>
      </c>
      <c r="J286" s="359">
        <v>1</v>
      </c>
      <c r="K286" s="359">
        <v>0</v>
      </c>
      <c r="L286" s="359">
        <v>0</v>
      </c>
      <c r="M286" s="360">
        <f t="shared" ref="M286:M291" si="517">L286</f>
        <v>0</v>
      </c>
      <c r="N286" s="357">
        <f t="shared" si="513"/>
        <v>232000</v>
      </c>
      <c r="O286" s="358">
        <f t="shared" si="514"/>
        <v>2</v>
      </c>
      <c r="P286" s="537">
        <f t="shared" si="501"/>
        <v>116000</v>
      </c>
      <c r="Q286" s="359">
        <v>0</v>
      </c>
      <c r="R286" s="359">
        <v>0</v>
      </c>
      <c r="S286" s="359">
        <v>1</v>
      </c>
      <c r="T286" s="359">
        <v>0</v>
      </c>
      <c r="U286" s="359">
        <v>0</v>
      </c>
      <c r="V286" s="359">
        <v>1</v>
      </c>
      <c r="W286" s="359">
        <v>0</v>
      </c>
      <c r="X286" s="359">
        <v>0</v>
      </c>
      <c r="Y286" s="359">
        <v>0</v>
      </c>
      <c r="Z286" s="359">
        <v>0</v>
      </c>
      <c r="AA286" s="359">
        <v>0</v>
      </c>
      <c r="AB286" s="360">
        <v>0</v>
      </c>
      <c r="AC286" s="595">
        <f>'List of equipment'!$Q$101</f>
        <v>1</v>
      </c>
      <c r="AD286" s="595" t="str">
        <f t="shared" si="498"/>
        <v>True</v>
      </c>
      <c r="AE286" s="25"/>
      <c r="AF286" s="25"/>
      <c r="AG286" s="25"/>
      <c r="AH286" s="25"/>
      <c r="AI286" s="25"/>
      <c r="AJ286" s="25"/>
      <c r="AK286" s="25"/>
      <c r="AL286" s="25"/>
      <c r="AM286" s="25"/>
      <c r="AN286" s="25"/>
      <c r="AO286" s="25"/>
      <c r="AP286" s="25"/>
    </row>
    <row r="287" spans="1:42">
      <c r="A287" s="331"/>
      <c r="C287" s="47" t="s">
        <v>670</v>
      </c>
      <c r="D287" s="314"/>
      <c r="E287" s="357">
        <f t="shared" si="515"/>
        <v>2000</v>
      </c>
      <c r="F287" s="51">
        <f t="shared" si="516"/>
        <v>1</v>
      </c>
      <c r="G287" s="508">
        <v>2000</v>
      </c>
      <c r="H287" s="359">
        <v>0</v>
      </c>
      <c r="I287" s="359">
        <v>0</v>
      </c>
      <c r="J287" s="359">
        <v>1</v>
      </c>
      <c r="K287" s="359">
        <v>0</v>
      </c>
      <c r="L287" s="359">
        <v>0</v>
      </c>
      <c r="M287" s="360">
        <f t="shared" si="517"/>
        <v>0</v>
      </c>
      <c r="N287" s="357">
        <f t="shared" si="513"/>
        <v>2000</v>
      </c>
      <c r="O287" s="358">
        <f t="shared" si="514"/>
        <v>1</v>
      </c>
      <c r="P287" s="537">
        <f t="shared" si="501"/>
        <v>2000</v>
      </c>
      <c r="Q287" s="359">
        <v>0</v>
      </c>
      <c r="R287" s="359">
        <v>0</v>
      </c>
      <c r="S287" s="359">
        <v>1</v>
      </c>
      <c r="T287" s="359">
        <v>0</v>
      </c>
      <c r="U287" s="359">
        <v>0</v>
      </c>
      <c r="V287" s="359">
        <v>0</v>
      </c>
      <c r="W287" s="359">
        <v>0</v>
      </c>
      <c r="X287" s="359">
        <v>0</v>
      </c>
      <c r="Y287" s="359">
        <v>0</v>
      </c>
      <c r="Z287" s="359">
        <v>0</v>
      </c>
      <c r="AA287" s="359">
        <v>0</v>
      </c>
      <c r="AB287" s="360">
        <v>0</v>
      </c>
      <c r="AC287" s="595">
        <f>'List of equipment'!$Q$102</f>
        <v>1</v>
      </c>
      <c r="AD287" s="595" t="str">
        <f t="shared" si="498"/>
        <v>True</v>
      </c>
      <c r="AE287" s="25"/>
      <c r="AF287" s="25"/>
      <c r="AG287" s="25"/>
      <c r="AH287" s="25"/>
      <c r="AI287" s="25"/>
      <c r="AJ287" s="25"/>
      <c r="AK287" s="25"/>
      <c r="AL287" s="25"/>
      <c r="AM287" s="25"/>
      <c r="AN287" s="25"/>
      <c r="AO287" s="25"/>
      <c r="AP287" s="25"/>
    </row>
    <row r="288" spans="1:42">
      <c r="A288" s="331"/>
      <c r="C288" s="47" t="s">
        <v>680</v>
      </c>
      <c r="D288" s="314"/>
      <c r="E288" s="357">
        <f t="shared" si="515"/>
        <v>700</v>
      </c>
      <c r="F288" s="51">
        <f t="shared" si="516"/>
        <v>1</v>
      </c>
      <c r="G288" s="508">
        <v>700</v>
      </c>
      <c r="H288" s="359">
        <v>0</v>
      </c>
      <c r="I288" s="359">
        <v>0</v>
      </c>
      <c r="J288" s="359">
        <v>1</v>
      </c>
      <c r="K288" s="359">
        <v>0</v>
      </c>
      <c r="L288" s="359">
        <v>0</v>
      </c>
      <c r="M288" s="360">
        <f t="shared" si="517"/>
        <v>0</v>
      </c>
      <c r="N288" s="357">
        <f t="shared" si="513"/>
        <v>700</v>
      </c>
      <c r="O288" s="358">
        <f t="shared" si="514"/>
        <v>1</v>
      </c>
      <c r="P288" s="537">
        <f t="shared" si="501"/>
        <v>700</v>
      </c>
      <c r="Q288" s="359">
        <v>0</v>
      </c>
      <c r="R288" s="359">
        <v>0</v>
      </c>
      <c r="S288" s="359">
        <v>1</v>
      </c>
      <c r="T288" s="359">
        <v>0</v>
      </c>
      <c r="U288" s="359">
        <v>0</v>
      </c>
      <c r="V288" s="359">
        <v>0</v>
      </c>
      <c r="W288" s="359">
        <v>0</v>
      </c>
      <c r="X288" s="359">
        <v>0</v>
      </c>
      <c r="Y288" s="359">
        <v>0</v>
      </c>
      <c r="Z288" s="359">
        <v>0</v>
      </c>
      <c r="AA288" s="359">
        <v>0</v>
      </c>
      <c r="AB288" s="360">
        <v>0</v>
      </c>
      <c r="AC288" s="595">
        <f>'List of equipment'!$Q$103</f>
        <v>1</v>
      </c>
      <c r="AD288" s="595" t="str">
        <f t="shared" si="498"/>
        <v>True</v>
      </c>
      <c r="AE288" s="25"/>
      <c r="AF288" s="25"/>
      <c r="AG288" s="25"/>
      <c r="AH288" s="25"/>
      <c r="AI288" s="25"/>
      <c r="AJ288" s="25"/>
      <c r="AK288" s="25"/>
      <c r="AL288" s="25"/>
      <c r="AM288" s="25"/>
      <c r="AN288" s="25"/>
      <c r="AO288" s="25"/>
      <c r="AP288" s="25"/>
    </row>
    <row r="289" spans="1:42">
      <c r="A289" s="331"/>
      <c r="C289" s="47" t="s">
        <v>682</v>
      </c>
      <c r="D289" s="314"/>
      <c r="E289" s="357">
        <f t="shared" si="515"/>
        <v>500</v>
      </c>
      <c r="F289" s="51">
        <f t="shared" si="516"/>
        <v>1</v>
      </c>
      <c r="G289" s="508">
        <v>500</v>
      </c>
      <c r="H289" s="359">
        <v>0</v>
      </c>
      <c r="I289" s="359">
        <v>0</v>
      </c>
      <c r="J289" s="359">
        <v>1</v>
      </c>
      <c r="K289" s="359">
        <v>0</v>
      </c>
      <c r="L289" s="359">
        <v>0</v>
      </c>
      <c r="M289" s="360">
        <f t="shared" si="517"/>
        <v>0</v>
      </c>
      <c r="N289" s="357">
        <f t="shared" si="513"/>
        <v>500</v>
      </c>
      <c r="O289" s="358">
        <f t="shared" si="514"/>
        <v>1</v>
      </c>
      <c r="P289" s="537">
        <f t="shared" si="501"/>
        <v>500</v>
      </c>
      <c r="Q289" s="359">
        <v>0</v>
      </c>
      <c r="R289" s="359">
        <v>0</v>
      </c>
      <c r="S289" s="359">
        <v>0</v>
      </c>
      <c r="T289" s="359">
        <v>0</v>
      </c>
      <c r="U289" s="359">
        <v>1</v>
      </c>
      <c r="V289" s="359">
        <v>0</v>
      </c>
      <c r="W289" s="359">
        <v>0</v>
      </c>
      <c r="X289" s="359">
        <v>0</v>
      </c>
      <c r="Y289" s="359">
        <v>0</v>
      </c>
      <c r="Z289" s="359">
        <v>0</v>
      </c>
      <c r="AA289" s="359">
        <v>0</v>
      </c>
      <c r="AB289" s="360">
        <v>0</v>
      </c>
      <c r="AC289" s="595">
        <f>'List of equipment'!$Q$105</f>
        <v>1</v>
      </c>
      <c r="AD289" s="595" t="str">
        <f t="shared" si="498"/>
        <v>True</v>
      </c>
      <c r="AE289" s="25"/>
      <c r="AF289" s="25"/>
      <c r="AG289" s="25"/>
      <c r="AH289" s="25"/>
      <c r="AI289" s="25"/>
      <c r="AJ289" s="25"/>
      <c r="AK289" s="25"/>
      <c r="AL289" s="25"/>
      <c r="AM289" s="25"/>
      <c r="AN289" s="25"/>
      <c r="AO289" s="25"/>
      <c r="AP289" s="25"/>
    </row>
    <row r="290" spans="1:42">
      <c r="A290" s="331"/>
      <c r="C290" s="47" t="s">
        <v>678</v>
      </c>
      <c r="D290" s="314"/>
      <c r="E290" s="357">
        <f t="shared" ca="1" si="515"/>
        <v>500</v>
      </c>
      <c r="F290" s="51">
        <f t="shared" ca="1" si="516"/>
        <v>1</v>
      </c>
      <c r="G290" s="508">
        <v>500</v>
      </c>
      <c r="H290" s="359">
        <v>0</v>
      </c>
      <c r="I290" s="359">
        <v>0</v>
      </c>
      <c r="J290" s="359">
        <f ca="1">SUMIF('List of equipment'!$D$149:$D$253,'List of equipment'!D200,'List of equipment'!$F$149:$F$246)</f>
        <v>1</v>
      </c>
      <c r="K290" s="359">
        <v>0</v>
      </c>
      <c r="L290" s="359">
        <v>0</v>
      </c>
      <c r="M290" s="360">
        <f t="shared" si="517"/>
        <v>0</v>
      </c>
      <c r="N290" s="357">
        <f t="shared" ca="1" si="513"/>
        <v>500</v>
      </c>
      <c r="O290" s="358">
        <f t="shared" ca="1" si="514"/>
        <v>1</v>
      </c>
      <c r="P290" s="537">
        <f t="shared" ca="1" si="501"/>
        <v>500</v>
      </c>
      <c r="Q290" s="359">
        <f t="shared" ca="1" si="503"/>
        <v>0</v>
      </c>
      <c r="R290" s="359">
        <v>0</v>
      </c>
      <c r="S290" s="359">
        <v>1</v>
      </c>
      <c r="T290" s="359">
        <v>0</v>
      </c>
      <c r="U290" s="359">
        <v>0</v>
      </c>
      <c r="V290" s="359">
        <v>0</v>
      </c>
      <c r="W290" s="359">
        <v>0</v>
      </c>
      <c r="X290" s="359">
        <v>0</v>
      </c>
      <c r="Y290" s="359">
        <v>0</v>
      </c>
      <c r="Z290" s="359">
        <v>0</v>
      </c>
      <c r="AA290" s="359">
        <v>0</v>
      </c>
      <c r="AB290" s="360">
        <v>0</v>
      </c>
      <c r="AC290" s="595">
        <f>'List of equipment'!$Q$106</f>
        <v>1</v>
      </c>
      <c r="AD290" s="595" t="str">
        <f t="shared" ca="1" si="498"/>
        <v>True</v>
      </c>
      <c r="AE290" s="25"/>
      <c r="AF290" s="25"/>
      <c r="AG290" s="25"/>
      <c r="AH290" s="25"/>
      <c r="AI290" s="25"/>
      <c r="AJ290" s="25"/>
      <c r="AK290" s="25"/>
      <c r="AL290" s="25"/>
      <c r="AM290" s="25"/>
      <c r="AN290" s="25"/>
      <c r="AO290" s="25"/>
      <c r="AP290" s="25"/>
    </row>
    <row r="291" spans="1:42">
      <c r="A291" s="331"/>
      <c r="C291" s="47" t="s">
        <v>1578</v>
      </c>
      <c r="D291" s="314"/>
      <c r="E291" s="357">
        <f t="shared" ca="1" si="515"/>
        <v>36000</v>
      </c>
      <c r="F291" s="51">
        <f t="shared" ca="1" si="516"/>
        <v>1</v>
      </c>
      <c r="G291" s="508">
        <v>36000</v>
      </c>
      <c r="H291" s="359">
        <v>0</v>
      </c>
      <c r="I291" s="359">
        <v>0</v>
      </c>
      <c r="J291" s="359">
        <f ca="1">SUMIF('List of equipment'!$D$149:$D$253,'List of equipment'!D201,'List of equipment'!$F$149:$F$246)</f>
        <v>1</v>
      </c>
      <c r="K291" s="359">
        <v>0</v>
      </c>
      <c r="L291" s="359">
        <v>0</v>
      </c>
      <c r="M291" s="360">
        <f t="shared" si="517"/>
        <v>0</v>
      </c>
      <c r="N291" s="357"/>
      <c r="O291" s="358"/>
      <c r="P291" s="537">
        <f t="shared" ca="1" si="501"/>
        <v>36000</v>
      </c>
      <c r="Q291" s="359">
        <f t="shared" ca="1" si="503"/>
        <v>0</v>
      </c>
      <c r="R291" s="359">
        <v>0</v>
      </c>
      <c r="S291" s="359">
        <v>1</v>
      </c>
      <c r="T291" s="359">
        <v>0</v>
      </c>
      <c r="U291" s="359">
        <v>0</v>
      </c>
      <c r="V291" s="359">
        <v>0</v>
      </c>
      <c r="W291" s="359">
        <v>0</v>
      </c>
      <c r="X291" s="359">
        <v>0</v>
      </c>
      <c r="Y291" s="359">
        <v>0</v>
      </c>
      <c r="Z291" s="359">
        <v>0</v>
      </c>
      <c r="AA291" s="359">
        <v>0</v>
      </c>
      <c r="AB291" s="360">
        <v>0</v>
      </c>
      <c r="AC291" s="595"/>
      <c r="AD291" s="595" t="str">
        <f t="shared" ca="1" si="498"/>
        <v>True</v>
      </c>
      <c r="AE291" s="25"/>
      <c r="AF291" s="25"/>
      <c r="AG291" s="25"/>
      <c r="AH291" s="25"/>
      <c r="AI291" s="25"/>
      <c r="AJ291" s="25"/>
      <c r="AK291" s="25"/>
      <c r="AL291" s="25"/>
      <c r="AM291" s="25"/>
      <c r="AN291" s="25"/>
      <c r="AO291" s="25"/>
      <c r="AP291" s="25"/>
    </row>
    <row r="292" spans="1:42">
      <c r="A292" s="331"/>
      <c r="C292" s="498" t="s">
        <v>666</v>
      </c>
      <c r="D292" s="314"/>
      <c r="E292" s="357"/>
      <c r="F292" s="51"/>
      <c r="G292" s="507"/>
      <c r="H292" s="51"/>
      <c r="I292" s="51"/>
      <c r="J292" s="51"/>
      <c r="K292" s="51"/>
      <c r="L292" s="51"/>
      <c r="M292" s="368"/>
      <c r="N292" s="357"/>
      <c r="O292" s="358"/>
      <c r="P292" s="537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368"/>
      <c r="AC292" s="595"/>
      <c r="AD292" s="595"/>
      <c r="AE292" s="25"/>
      <c r="AF292" s="25"/>
      <c r="AG292" s="25"/>
      <c r="AH292" s="25"/>
      <c r="AI292" s="25"/>
      <c r="AJ292" s="25"/>
      <c r="AK292" s="25"/>
      <c r="AL292" s="25"/>
      <c r="AM292" s="25"/>
      <c r="AN292" s="25"/>
      <c r="AO292" s="25"/>
      <c r="AP292" s="25"/>
    </row>
    <row r="293" spans="1:42">
      <c r="A293" s="331"/>
      <c r="C293" s="47" t="s">
        <v>672</v>
      </c>
      <c r="D293" s="314"/>
      <c r="E293" s="357">
        <f t="shared" ref="E293" si="518">F293*G293</f>
        <v>200000</v>
      </c>
      <c r="F293" s="51">
        <f t="shared" ref="F293" si="519">SUM(H293:M293)</f>
        <v>1</v>
      </c>
      <c r="G293" s="508">
        <v>200000</v>
      </c>
      <c r="H293" s="359">
        <v>0</v>
      </c>
      <c r="I293" s="359">
        <v>0</v>
      </c>
      <c r="J293" s="359">
        <v>1</v>
      </c>
      <c r="K293" s="359">
        <v>0</v>
      </c>
      <c r="L293" s="359">
        <v>0</v>
      </c>
      <c r="M293" s="360">
        <f>L293</f>
        <v>0</v>
      </c>
      <c r="N293" s="357">
        <f t="shared" ref="N293:N299" si="520">O293*P293</f>
        <v>200000</v>
      </c>
      <c r="O293" s="358">
        <f t="shared" ref="O293:O299" si="521">SUM(Q293:AB293)</f>
        <v>1</v>
      </c>
      <c r="P293" s="537">
        <f t="shared" si="501"/>
        <v>200000</v>
      </c>
      <c r="Q293" s="359">
        <v>0</v>
      </c>
      <c r="R293" s="359">
        <f>Q293</f>
        <v>0</v>
      </c>
      <c r="S293" s="359">
        <v>1</v>
      </c>
      <c r="T293" s="359">
        <v>0</v>
      </c>
      <c r="U293" s="359">
        <f t="shared" ref="U293:AA293" si="522">T293</f>
        <v>0</v>
      </c>
      <c r="V293" s="359">
        <f t="shared" si="522"/>
        <v>0</v>
      </c>
      <c r="W293" s="359">
        <f t="shared" si="522"/>
        <v>0</v>
      </c>
      <c r="X293" s="359">
        <f t="shared" si="522"/>
        <v>0</v>
      </c>
      <c r="Y293" s="359">
        <f t="shared" si="522"/>
        <v>0</v>
      </c>
      <c r="Z293" s="359">
        <f t="shared" si="522"/>
        <v>0</v>
      </c>
      <c r="AA293" s="359">
        <f t="shared" si="522"/>
        <v>0</v>
      </c>
      <c r="AB293" s="360">
        <f>AA293</f>
        <v>0</v>
      </c>
      <c r="AC293" s="595">
        <f>'List of equipment'!$Q$49</f>
        <v>1</v>
      </c>
      <c r="AD293" s="595" t="str">
        <f t="shared" si="498"/>
        <v>True</v>
      </c>
      <c r="AE293" s="25"/>
      <c r="AF293" s="25"/>
      <c r="AG293" s="25"/>
      <c r="AH293" s="25"/>
      <c r="AI293" s="25"/>
      <c r="AJ293" s="25"/>
      <c r="AK293" s="25"/>
      <c r="AL293" s="25"/>
      <c r="AM293" s="25"/>
      <c r="AN293" s="25"/>
      <c r="AO293" s="25"/>
      <c r="AP293" s="25"/>
    </row>
    <row r="294" spans="1:42">
      <c r="A294" s="331"/>
      <c r="C294" s="47" t="s">
        <v>673</v>
      </c>
      <c r="D294" s="314"/>
      <c r="E294" s="357">
        <f t="shared" ref="E294:E299" si="523">F294*G294</f>
        <v>5000</v>
      </c>
      <c r="F294" s="51">
        <f t="shared" ref="F294:F299" si="524">SUM(H294:M294)</f>
        <v>1</v>
      </c>
      <c r="G294" s="508">
        <v>5000</v>
      </c>
      <c r="H294" s="359">
        <v>0</v>
      </c>
      <c r="I294" s="359">
        <v>0</v>
      </c>
      <c r="J294" s="359">
        <v>1</v>
      </c>
      <c r="K294" s="359">
        <v>0</v>
      </c>
      <c r="L294" s="359">
        <v>0</v>
      </c>
      <c r="M294" s="360">
        <f t="shared" ref="M294:M314" si="525">L294</f>
        <v>0</v>
      </c>
      <c r="N294" s="357">
        <f t="shared" si="520"/>
        <v>10000</v>
      </c>
      <c r="O294" s="358">
        <f t="shared" si="521"/>
        <v>2</v>
      </c>
      <c r="P294" s="537">
        <f t="shared" si="501"/>
        <v>5000</v>
      </c>
      <c r="Q294" s="359">
        <v>0</v>
      </c>
      <c r="R294" s="359">
        <v>0</v>
      </c>
      <c r="S294" s="359">
        <v>1</v>
      </c>
      <c r="T294" s="359">
        <v>0</v>
      </c>
      <c r="U294" s="359">
        <v>0</v>
      </c>
      <c r="V294" s="359">
        <v>0</v>
      </c>
      <c r="W294" s="359">
        <v>0</v>
      </c>
      <c r="X294" s="359">
        <v>0</v>
      </c>
      <c r="Y294" s="359">
        <v>0</v>
      </c>
      <c r="Z294" s="359">
        <v>0</v>
      </c>
      <c r="AA294" s="359">
        <v>0</v>
      </c>
      <c r="AB294" s="360">
        <v>1</v>
      </c>
      <c r="AC294" s="595">
        <f>'List of equipment'!$Q$50</f>
        <v>1</v>
      </c>
      <c r="AD294" s="595" t="str">
        <f t="shared" si="498"/>
        <v>True</v>
      </c>
      <c r="AE294" s="25"/>
      <c r="AF294" s="25"/>
      <c r="AG294" s="25"/>
      <c r="AH294" s="25"/>
      <c r="AI294" s="25"/>
      <c r="AJ294" s="25"/>
      <c r="AK294" s="25"/>
      <c r="AL294" s="25"/>
      <c r="AM294" s="25"/>
      <c r="AN294" s="25"/>
      <c r="AO294" s="25"/>
      <c r="AP294" s="25"/>
    </row>
    <row r="295" spans="1:42">
      <c r="A295" s="331"/>
      <c r="C295" s="47" t="s">
        <v>674</v>
      </c>
      <c r="D295" s="314"/>
      <c r="E295" s="357">
        <f t="shared" si="523"/>
        <v>1070</v>
      </c>
      <c r="F295" s="51">
        <f t="shared" si="524"/>
        <v>1</v>
      </c>
      <c r="G295" s="508">
        <v>1070</v>
      </c>
      <c r="H295" s="359">
        <v>0</v>
      </c>
      <c r="I295" s="359">
        <v>0</v>
      </c>
      <c r="J295" s="359">
        <v>1</v>
      </c>
      <c r="K295" s="359">
        <v>0</v>
      </c>
      <c r="L295" s="359">
        <v>0</v>
      </c>
      <c r="M295" s="360">
        <f t="shared" si="525"/>
        <v>0</v>
      </c>
      <c r="N295" s="357">
        <f t="shared" si="520"/>
        <v>1070</v>
      </c>
      <c r="O295" s="358">
        <f t="shared" si="521"/>
        <v>1</v>
      </c>
      <c r="P295" s="537">
        <f t="shared" si="501"/>
        <v>1070</v>
      </c>
      <c r="Q295" s="359">
        <f t="shared" ref="Q295:Q299" si="526">IF(AC295&lt;=F295,0,AC295-F295)</f>
        <v>0</v>
      </c>
      <c r="R295" s="359">
        <v>0</v>
      </c>
      <c r="S295" s="359">
        <v>1</v>
      </c>
      <c r="T295" s="359">
        <v>0</v>
      </c>
      <c r="U295" s="359">
        <v>0</v>
      </c>
      <c r="V295" s="359">
        <v>0</v>
      </c>
      <c r="W295" s="359">
        <v>0</v>
      </c>
      <c r="X295" s="359">
        <v>0</v>
      </c>
      <c r="Y295" s="359">
        <v>0</v>
      </c>
      <c r="Z295" s="359">
        <v>0</v>
      </c>
      <c r="AA295" s="359">
        <v>0</v>
      </c>
      <c r="AB295" s="360">
        <f>AA295</f>
        <v>0</v>
      </c>
      <c r="AC295" s="595">
        <f>'List of equipment'!$Q$51</f>
        <v>1</v>
      </c>
      <c r="AD295" s="595" t="str">
        <f t="shared" si="498"/>
        <v>True</v>
      </c>
      <c r="AE295" s="25"/>
      <c r="AF295" s="25"/>
      <c r="AG295" s="25"/>
      <c r="AH295" s="25"/>
      <c r="AI295" s="25"/>
      <c r="AJ295" s="25"/>
      <c r="AK295" s="25"/>
      <c r="AL295" s="25"/>
      <c r="AM295" s="25"/>
      <c r="AN295" s="25"/>
      <c r="AO295" s="25"/>
      <c r="AP295" s="25"/>
    </row>
    <row r="296" spans="1:42">
      <c r="A296" s="331"/>
      <c r="C296" s="47" t="s">
        <v>689</v>
      </c>
      <c r="D296" s="314"/>
      <c r="E296" s="357">
        <f t="shared" si="523"/>
        <v>8000</v>
      </c>
      <c r="F296" s="51">
        <f t="shared" si="524"/>
        <v>1</v>
      </c>
      <c r="G296" s="508">
        <v>8000</v>
      </c>
      <c r="H296" s="359">
        <v>0</v>
      </c>
      <c r="I296" s="359">
        <v>0</v>
      </c>
      <c r="J296" s="359">
        <f>SUMIF('List of equipment'!$D$149:$D$196,'List of equipment'!D156,'List of equipment'!$F$149:$F$196)</f>
        <v>1</v>
      </c>
      <c r="K296" s="359">
        <v>0</v>
      </c>
      <c r="L296" s="359">
        <v>0</v>
      </c>
      <c r="M296" s="360">
        <f t="shared" si="525"/>
        <v>0</v>
      </c>
      <c r="N296" s="357">
        <f t="shared" si="520"/>
        <v>0</v>
      </c>
      <c r="O296" s="358">
        <f t="shared" si="521"/>
        <v>0</v>
      </c>
      <c r="P296" s="537">
        <f t="shared" si="501"/>
        <v>8000</v>
      </c>
      <c r="Q296" s="359">
        <f t="shared" si="526"/>
        <v>0</v>
      </c>
      <c r="R296" s="359">
        <v>0</v>
      </c>
      <c r="S296" s="359">
        <v>0</v>
      </c>
      <c r="T296" s="359">
        <v>0</v>
      </c>
      <c r="U296" s="359">
        <v>0</v>
      </c>
      <c r="V296" s="359">
        <v>0</v>
      </c>
      <c r="W296" s="359">
        <v>0</v>
      </c>
      <c r="X296" s="359">
        <v>0</v>
      </c>
      <c r="Y296" s="359">
        <v>0</v>
      </c>
      <c r="Z296" s="359">
        <v>0</v>
      </c>
      <c r="AA296" s="359">
        <v>0</v>
      </c>
      <c r="AB296" s="360">
        <f t="shared" ref="AB296:AB299" si="527">AA296</f>
        <v>0</v>
      </c>
      <c r="AC296" s="595">
        <f>'List of equipment'!$Q$52</f>
        <v>1</v>
      </c>
      <c r="AD296" s="595" t="str">
        <f t="shared" si="498"/>
        <v>True</v>
      </c>
      <c r="AE296" s="25"/>
      <c r="AF296" s="25"/>
      <c r="AG296" s="25"/>
      <c r="AH296" s="25"/>
      <c r="AI296" s="25"/>
      <c r="AJ296" s="25"/>
      <c r="AK296" s="25"/>
      <c r="AL296" s="25"/>
      <c r="AM296" s="25"/>
      <c r="AN296" s="25"/>
      <c r="AO296" s="25"/>
      <c r="AP296" s="25"/>
    </row>
    <row r="297" spans="1:42">
      <c r="A297" s="331"/>
      <c r="C297" s="47" t="s">
        <v>669</v>
      </c>
      <c r="D297" s="314"/>
      <c r="E297" s="357">
        <f t="shared" si="523"/>
        <v>25396</v>
      </c>
      <c r="F297" s="51">
        <f t="shared" si="524"/>
        <v>1</v>
      </c>
      <c r="G297" s="508">
        <v>25396</v>
      </c>
      <c r="H297" s="359">
        <v>0</v>
      </c>
      <c r="I297" s="359">
        <v>0</v>
      </c>
      <c r="J297" s="359">
        <f>SUMIF('List of equipment'!$D$149:$D$196,'List of equipment'!D150,'List of equipment'!$F$149:$F$196)</f>
        <v>1</v>
      </c>
      <c r="K297" s="359">
        <v>0</v>
      </c>
      <c r="L297" s="359">
        <v>0</v>
      </c>
      <c r="M297" s="360">
        <f t="shared" si="525"/>
        <v>0</v>
      </c>
      <c r="N297" s="357">
        <f t="shared" si="520"/>
        <v>25396</v>
      </c>
      <c r="O297" s="358">
        <f t="shared" si="521"/>
        <v>1</v>
      </c>
      <c r="P297" s="537">
        <f t="shared" si="501"/>
        <v>25396</v>
      </c>
      <c r="Q297" s="359">
        <f t="shared" si="526"/>
        <v>1</v>
      </c>
      <c r="R297" s="359">
        <v>0</v>
      </c>
      <c r="S297" s="359">
        <v>0</v>
      </c>
      <c r="T297" s="359">
        <v>0</v>
      </c>
      <c r="U297" s="359">
        <v>0</v>
      </c>
      <c r="V297" s="359">
        <v>0</v>
      </c>
      <c r="W297" s="359">
        <v>0</v>
      </c>
      <c r="X297" s="359">
        <v>0</v>
      </c>
      <c r="Y297" s="359">
        <v>0</v>
      </c>
      <c r="Z297" s="359">
        <v>0</v>
      </c>
      <c r="AA297" s="359">
        <v>0</v>
      </c>
      <c r="AB297" s="360">
        <f t="shared" si="527"/>
        <v>0</v>
      </c>
      <c r="AC297" s="595">
        <f>'List of equipment'!$Q$74</f>
        <v>2</v>
      </c>
      <c r="AD297" s="595" t="str">
        <f t="shared" si="498"/>
        <v>True</v>
      </c>
      <c r="AE297" s="25"/>
      <c r="AF297" s="25"/>
      <c r="AG297" s="25"/>
      <c r="AH297" s="25"/>
      <c r="AI297" s="25"/>
      <c r="AJ297" s="25"/>
      <c r="AK297" s="25"/>
      <c r="AL297" s="25"/>
      <c r="AM297" s="25"/>
      <c r="AN297" s="25"/>
      <c r="AO297" s="25"/>
      <c r="AP297" s="25"/>
    </row>
    <row r="298" spans="1:42">
      <c r="A298" s="331"/>
      <c r="C298" s="47" t="s">
        <v>691</v>
      </c>
      <c r="D298" s="314"/>
      <c r="E298" s="357">
        <f t="shared" si="523"/>
        <v>12000</v>
      </c>
      <c r="F298" s="51">
        <f t="shared" si="524"/>
        <v>1</v>
      </c>
      <c r="G298" s="508">
        <v>12000</v>
      </c>
      <c r="H298" s="359">
        <v>0</v>
      </c>
      <c r="I298" s="359">
        <v>0</v>
      </c>
      <c r="J298" s="359">
        <v>1</v>
      </c>
      <c r="K298" s="359">
        <v>0</v>
      </c>
      <c r="L298" s="359">
        <v>0</v>
      </c>
      <c r="M298" s="360">
        <f t="shared" si="525"/>
        <v>0</v>
      </c>
      <c r="N298" s="357">
        <f t="shared" si="520"/>
        <v>12000</v>
      </c>
      <c r="O298" s="358">
        <f t="shared" si="521"/>
        <v>1</v>
      </c>
      <c r="P298" s="537">
        <f t="shared" si="501"/>
        <v>12000</v>
      </c>
      <c r="Q298" s="359">
        <f t="shared" si="526"/>
        <v>0</v>
      </c>
      <c r="R298" s="359">
        <v>0</v>
      </c>
      <c r="S298" s="359">
        <v>1</v>
      </c>
      <c r="T298" s="359">
        <v>0</v>
      </c>
      <c r="U298" s="359">
        <v>0</v>
      </c>
      <c r="V298" s="359">
        <v>0</v>
      </c>
      <c r="W298" s="359">
        <v>0</v>
      </c>
      <c r="X298" s="359">
        <v>0</v>
      </c>
      <c r="Y298" s="359">
        <v>0</v>
      </c>
      <c r="Z298" s="359">
        <v>0</v>
      </c>
      <c r="AA298" s="359">
        <v>0</v>
      </c>
      <c r="AB298" s="360">
        <f t="shared" si="527"/>
        <v>0</v>
      </c>
      <c r="AC298" s="595">
        <f>'List of equipment'!$Q$83</f>
        <v>1</v>
      </c>
      <c r="AD298" s="595" t="str">
        <f t="shared" si="498"/>
        <v>True</v>
      </c>
      <c r="AE298" s="25"/>
      <c r="AF298" s="25"/>
      <c r="AG298" s="25"/>
      <c r="AH298" s="25"/>
      <c r="AI298" s="25"/>
      <c r="AJ298" s="25"/>
      <c r="AK298" s="25"/>
      <c r="AL298" s="25"/>
      <c r="AM298" s="25"/>
      <c r="AN298" s="25"/>
      <c r="AO298" s="25"/>
      <c r="AP298" s="25"/>
    </row>
    <row r="299" spans="1:42">
      <c r="A299" s="331"/>
      <c r="C299" s="47" t="s">
        <v>690</v>
      </c>
      <c r="D299" s="314"/>
      <c r="E299" s="357">
        <f t="shared" si="523"/>
        <v>1000</v>
      </c>
      <c r="F299" s="51">
        <f t="shared" si="524"/>
        <v>1</v>
      </c>
      <c r="G299" s="508">
        <v>1000</v>
      </c>
      <c r="H299" s="359">
        <v>0</v>
      </c>
      <c r="I299" s="359">
        <v>0</v>
      </c>
      <c r="J299" s="359">
        <v>1</v>
      </c>
      <c r="K299" s="359">
        <v>0</v>
      </c>
      <c r="L299" s="359">
        <v>0</v>
      </c>
      <c r="M299" s="360">
        <f t="shared" si="525"/>
        <v>0</v>
      </c>
      <c r="N299" s="357">
        <f t="shared" si="520"/>
        <v>1000</v>
      </c>
      <c r="O299" s="358">
        <f t="shared" si="521"/>
        <v>1</v>
      </c>
      <c r="P299" s="537">
        <f t="shared" si="501"/>
        <v>1000</v>
      </c>
      <c r="Q299" s="359">
        <f t="shared" si="526"/>
        <v>0</v>
      </c>
      <c r="R299" s="359">
        <v>0</v>
      </c>
      <c r="S299" s="359">
        <v>1</v>
      </c>
      <c r="T299" s="359">
        <v>0</v>
      </c>
      <c r="U299" s="359">
        <v>0</v>
      </c>
      <c r="V299" s="359">
        <v>0</v>
      </c>
      <c r="W299" s="359">
        <v>0</v>
      </c>
      <c r="X299" s="359">
        <v>0</v>
      </c>
      <c r="Y299" s="359">
        <v>0</v>
      </c>
      <c r="Z299" s="359">
        <v>0</v>
      </c>
      <c r="AA299" s="359">
        <v>0</v>
      </c>
      <c r="AB299" s="360">
        <f t="shared" si="527"/>
        <v>0</v>
      </c>
      <c r="AC299" s="595">
        <f>'List of equipment'!$Q$84</f>
        <v>1</v>
      </c>
      <c r="AD299" s="595" t="str">
        <f t="shared" si="498"/>
        <v>True</v>
      </c>
      <c r="AE299" s="25"/>
      <c r="AF299" s="25"/>
      <c r="AG299" s="25"/>
      <c r="AH299" s="25"/>
      <c r="AI299" s="25"/>
      <c r="AJ299" s="25"/>
      <c r="AK299" s="25"/>
      <c r="AL299" s="25"/>
      <c r="AM299" s="25"/>
      <c r="AN299" s="25"/>
      <c r="AO299" s="25"/>
      <c r="AP299" s="25"/>
    </row>
    <row r="300" spans="1:42">
      <c r="A300" s="331"/>
      <c r="C300" s="498" t="s">
        <v>677</v>
      </c>
      <c r="D300" s="314"/>
      <c r="E300" s="357"/>
      <c r="F300" s="51"/>
      <c r="G300" s="507"/>
      <c r="H300" s="51"/>
      <c r="I300" s="51"/>
      <c r="J300" s="51"/>
      <c r="K300" s="51"/>
      <c r="L300" s="51"/>
      <c r="M300" s="368"/>
      <c r="N300" s="357"/>
      <c r="O300" s="358"/>
      <c r="P300" s="537">
        <f t="shared" si="501"/>
        <v>0</v>
      </c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368"/>
      <c r="AC300" s="595"/>
      <c r="AD300" s="595"/>
      <c r="AE300" s="25"/>
      <c r="AF300" s="25"/>
      <c r="AG300" s="25"/>
      <c r="AH300" s="25"/>
      <c r="AI300" s="25"/>
      <c r="AJ300" s="25"/>
      <c r="AK300" s="25"/>
      <c r="AL300" s="25"/>
      <c r="AM300" s="25"/>
      <c r="AN300" s="25"/>
      <c r="AO300" s="25"/>
      <c r="AP300" s="25"/>
    </row>
    <row r="301" spans="1:42">
      <c r="A301" s="331"/>
      <c r="C301" s="47" t="s">
        <v>692</v>
      </c>
      <c r="D301" s="314"/>
      <c r="E301" s="357">
        <f t="shared" ref="E301" si="528">F301*G301</f>
        <v>250000</v>
      </c>
      <c r="F301" s="51">
        <f t="shared" ref="F301" si="529">SUM(H301:M301)</f>
        <v>1</v>
      </c>
      <c r="G301" s="508">
        <v>250000</v>
      </c>
      <c r="H301" s="359">
        <v>0</v>
      </c>
      <c r="I301" s="359">
        <v>0</v>
      </c>
      <c r="J301" s="359">
        <v>1</v>
      </c>
      <c r="K301" s="359">
        <v>0</v>
      </c>
      <c r="L301" s="359">
        <v>0</v>
      </c>
      <c r="M301" s="360">
        <f t="shared" si="525"/>
        <v>0</v>
      </c>
      <c r="N301" s="357">
        <f>O301*P301</f>
        <v>750000</v>
      </c>
      <c r="O301" s="358">
        <f>SUM(Q301:AB301)</f>
        <v>3</v>
      </c>
      <c r="P301" s="537">
        <f t="shared" si="501"/>
        <v>250000</v>
      </c>
      <c r="Q301" s="359">
        <v>1</v>
      </c>
      <c r="R301" s="359">
        <v>0</v>
      </c>
      <c r="S301" s="359">
        <v>0</v>
      </c>
      <c r="T301" s="359">
        <v>0</v>
      </c>
      <c r="U301" s="359">
        <v>0</v>
      </c>
      <c r="V301" s="359">
        <v>1</v>
      </c>
      <c r="W301" s="359">
        <v>0</v>
      </c>
      <c r="X301" s="359">
        <v>0</v>
      </c>
      <c r="Y301" s="359">
        <v>0</v>
      </c>
      <c r="Z301" s="359">
        <v>0</v>
      </c>
      <c r="AA301" s="359">
        <v>0</v>
      </c>
      <c r="AB301" s="360">
        <v>1</v>
      </c>
      <c r="AC301" s="595">
        <f>COUNTIF('Medic Equipment'!$E$5:$E$31,'Medic Equipment'!$E$24)/3</f>
        <v>3</v>
      </c>
      <c r="AD301" s="595" t="str">
        <f t="shared" si="498"/>
        <v>True</v>
      </c>
      <c r="AE301" s="25"/>
      <c r="AF301" s="25"/>
      <c r="AG301" s="25"/>
      <c r="AH301" s="25"/>
      <c r="AI301" s="25"/>
      <c r="AJ301" s="25"/>
      <c r="AK301" s="25"/>
      <c r="AL301" s="25"/>
      <c r="AM301" s="25"/>
      <c r="AN301" s="25"/>
      <c r="AO301" s="25"/>
      <c r="AP301" s="25"/>
    </row>
    <row r="302" spans="1:42" s="25" customFormat="1">
      <c r="A302" s="331"/>
      <c r="B302" s="453"/>
      <c r="C302" s="497" t="s">
        <v>694</v>
      </c>
      <c r="D302" s="314"/>
      <c r="E302" s="357"/>
      <c r="F302" s="51"/>
      <c r="G302" s="507"/>
      <c r="H302" s="51"/>
      <c r="I302" s="51"/>
      <c r="J302" s="51">
        <v>0</v>
      </c>
      <c r="K302" s="51"/>
      <c r="L302" s="51"/>
      <c r="M302" s="368"/>
      <c r="N302" s="357"/>
      <c r="O302" s="358"/>
      <c r="P302" s="537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368"/>
      <c r="AC302" s="595"/>
      <c r="AD302" s="595"/>
    </row>
    <row r="303" spans="1:42">
      <c r="A303" s="331"/>
      <c r="C303" s="47" t="s">
        <v>693</v>
      </c>
      <c r="D303" s="314"/>
      <c r="E303" s="357">
        <f t="shared" ref="E303" si="530">F303*G303</f>
        <v>6999</v>
      </c>
      <c r="F303" s="51">
        <f t="shared" ref="F303" si="531">SUM(H303:M303)</f>
        <v>1</v>
      </c>
      <c r="G303" s="508">
        <v>6999</v>
      </c>
      <c r="H303" s="359">
        <v>0</v>
      </c>
      <c r="I303" s="359">
        <v>0</v>
      </c>
      <c r="J303" s="359">
        <v>1</v>
      </c>
      <c r="K303" s="359">
        <v>0</v>
      </c>
      <c r="L303" s="359">
        <v>0</v>
      </c>
      <c r="M303" s="360">
        <f t="shared" si="525"/>
        <v>0</v>
      </c>
      <c r="N303" s="357">
        <f>O303*P303</f>
        <v>6999</v>
      </c>
      <c r="O303" s="358">
        <f>SUM(Q303:AB303)</f>
        <v>1</v>
      </c>
      <c r="P303" s="537">
        <f t="shared" si="501"/>
        <v>6999</v>
      </c>
      <c r="Q303" s="359">
        <v>0</v>
      </c>
      <c r="R303" s="359">
        <v>1</v>
      </c>
      <c r="S303" s="359">
        <v>0</v>
      </c>
      <c r="T303" s="359">
        <v>0</v>
      </c>
      <c r="U303" s="359">
        <v>0</v>
      </c>
      <c r="V303" s="359">
        <v>0</v>
      </c>
      <c r="W303" s="359">
        <v>0</v>
      </c>
      <c r="X303" s="359">
        <v>0</v>
      </c>
      <c r="Y303" s="359">
        <v>0</v>
      </c>
      <c r="Z303" s="359">
        <v>0</v>
      </c>
      <c r="AA303" s="359">
        <v>0</v>
      </c>
      <c r="AB303" s="360">
        <v>0</v>
      </c>
      <c r="AC303" s="595">
        <f>'List of equipment'!$Q$149</f>
        <v>1</v>
      </c>
      <c r="AD303" s="595" t="str">
        <f t="shared" si="498"/>
        <v>True</v>
      </c>
      <c r="AE303" s="25"/>
      <c r="AF303" s="25"/>
      <c r="AG303" s="25"/>
      <c r="AH303" s="25"/>
      <c r="AI303" s="25"/>
      <c r="AJ303" s="25"/>
      <c r="AK303" s="25"/>
      <c r="AL303" s="25"/>
      <c r="AM303" s="25"/>
      <c r="AN303" s="25"/>
      <c r="AO303" s="25"/>
      <c r="AP303" s="25"/>
    </row>
    <row r="304" spans="1:42">
      <c r="A304" s="331"/>
      <c r="C304" s="47" t="s">
        <v>696</v>
      </c>
      <c r="D304" s="314"/>
      <c r="E304" s="357">
        <f t="shared" ref="E304:E305" si="532">F304*G304</f>
        <v>112275</v>
      </c>
      <c r="F304" s="51">
        <f t="shared" ref="F304:F305" si="533">SUM(H304:M304)</f>
        <v>1</v>
      </c>
      <c r="G304" s="508">
        <v>112275</v>
      </c>
      <c r="H304" s="359">
        <v>0</v>
      </c>
      <c r="I304" s="359">
        <v>0</v>
      </c>
      <c r="J304" s="359">
        <v>1</v>
      </c>
      <c r="K304" s="359">
        <v>0</v>
      </c>
      <c r="L304" s="359">
        <v>0</v>
      </c>
      <c r="M304" s="360">
        <f t="shared" si="525"/>
        <v>0</v>
      </c>
      <c r="N304" s="357">
        <f>O304*P304</f>
        <v>0</v>
      </c>
      <c r="O304" s="358">
        <f>SUM(Q304:AB304)</f>
        <v>0</v>
      </c>
      <c r="P304" s="537">
        <f t="shared" si="501"/>
        <v>112275</v>
      </c>
      <c r="Q304" s="359">
        <v>0</v>
      </c>
      <c r="R304" s="359">
        <v>0</v>
      </c>
      <c r="S304" s="359">
        <v>0</v>
      </c>
      <c r="T304" s="359">
        <v>0</v>
      </c>
      <c r="U304" s="359">
        <v>0</v>
      </c>
      <c r="V304" s="359">
        <v>0</v>
      </c>
      <c r="W304" s="359">
        <v>0</v>
      </c>
      <c r="X304" s="359">
        <v>0</v>
      </c>
      <c r="Y304" s="359">
        <v>0</v>
      </c>
      <c r="Z304" s="359">
        <v>0</v>
      </c>
      <c r="AA304" s="359">
        <v>0</v>
      </c>
      <c r="AB304" s="360">
        <v>0</v>
      </c>
      <c r="AC304" s="595">
        <f>'List of equipment'!$Q$152</f>
        <v>1</v>
      </c>
      <c r="AD304" s="595" t="str">
        <f t="shared" si="498"/>
        <v>True</v>
      </c>
      <c r="AE304" s="25"/>
      <c r="AF304" s="25"/>
      <c r="AG304" s="25"/>
      <c r="AH304" s="25"/>
      <c r="AI304" s="25"/>
      <c r="AJ304" s="25"/>
      <c r="AK304" s="25"/>
      <c r="AL304" s="25"/>
      <c r="AM304" s="25"/>
      <c r="AN304" s="25"/>
      <c r="AO304" s="25"/>
      <c r="AP304" s="25"/>
    </row>
    <row r="305" spans="1:42">
      <c r="A305" s="331"/>
      <c r="C305" s="47" t="s">
        <v>695</v>
      </c>
      <c r="D305" s="314"/>
      <c r="E305" s="357">
        <f t="shared" si="532"/>
        <v>66800</v>
      </c>
      <c r="F305" s="51">
        <f t="shared" si="533"/>
        <v>1</v>
      </c>
      <c r="G305" s="508">
        <v>66800</v>
      </c>
      <c r="H305" s="359">
        <v>0</v>
      </c>
      <c r="I305" s="359">
        <v>0</v>
      </c>
      <c r="J305" s="359">
        <v>1</v>
      </c>
      <c r="K305" s="359">
        <v>0</v>
      </c>
      <c r="L305" s="359">
        <v>0</v>
      </c>
      <c r="M305" s="360">
        <f t="shared" si="525"/>
        <v>0</v>
      </c>
      <c r="N305" s="357">
        <f>O305*P305</f>
        <v>66800</v>
      </c>
      <c r="O305" s="358">
        <f>SUM(Q305:AB305)</f>
        <v>1</v>
      </c>
      <c r="P305" s="537">
        <f t="shared" si="501"/>
        <v>66800</v>
      </c>
      <c r="Q305" s="359">
        <v>0</v>
      </c>
      <c r="R305" s="359">
        <v>1</v>
      </c>
      <c r="S305" s="359">
        <v>0</v>
      </c>
      <c r="T305" s="359">
        <v>0</v>
      </c>
      <c r="U305" s="359">
        <v>0</v>
      </c>
      <c r="V305" s="359">
        <v>0</v>
      </c>
      <c r="W305" s="359">
        <v>0</v>
      </c>
      <c r="X305" s="359">
        <v>0</v>
      </c>
      <c r="Y305" s="359">
        <v>0</v>
      </c>
      <c r="Z305" s="359">
        <v>0</v>
      </c>
      <c r="AA305" s="359">
        <v>0</v>
      </c>
      <c r="AB305" s="360">
        <v>0</v>
      </c>
      <c r="AC305" s="595">
        <f>'List of equipment'!$Q$151</f>
        <v>1</v>
      </c>
      <c r="AD305" s="595" t="str">
        <f t="shared" si="498"/>
        <v>True</v>
      </c>
      <c r="AE305" s="25"/>
      <c r="AF305" s="25"/>
      <c r="AG305" s="25"/>
      <c r="AH305" s="25"/>
      <c r="AI305" s="25"/>
      <c r="AJ305" s="25"/>
      <c r="AK305" s="25"/>
      <c r="AL305" s="25"/>
      <c r="AM305" s="25"/>
      <c r="AN305" s="25"/>
      <c r="AO305" s="25"/>
      <c r="AP305" s="25"/>
    </row>
    <row r="306" spans="1:42">
      <c r="A306" s="331"/>
      <c r="C306" s="497" t="s">
        <v>704</v>
      </c>
      <c r="D306" s="314"/>
      <c r="E306" s="357"/>
      <c r="F306" s="51"/>
      <c r="G306" s="507"/>
      <c r="H306" s="51"/>
      <c r="I306" s="51"/>
      <c r="J306" s="51"/>
      <c r="K306" s="51"/>
      <c r="L306" s="51"/>
      <c r="M306" s="368"/>
      <c r="N306" s="357"/>
      <c r="O306" s="358"/>
      <c r="P306" s="537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368"/>
      <c r="AC306" s="595"/>
      <c r="AD306" s="595"/>
      <c r="AE306" s="25"/>
      <c r="AF306" s="25"/>
      <c r="AG306" s="25"/>
      <c r="AH306" s="25"/>
      <c r="AI306" s="25"/>
      <c r="AJ306" s="25"/>
      <c r="AK306" s="25"/>
      <c r="AL306" s="25"/>
      <c r="AM306" s="25"/>
      <c r="AN306" s="25"/>
      <c r="AO306" s="25"/>
      <c r="AP306" s="25"/>
    </row>
    <row r="307" spans="1:42">
      <c r="A307" s="331"/>
      <c r="C307" s="47" t="s">
        <v>705</v>
      </c>
      <c r="D307" s="314"/>
      <c r="E307" s="357">
        <f t="shared" ref="E307" si="534">F307*G307</f>
        <v>10000</v>
      </c>
      <c r="F307" s="51">
        <f t="shared" ref="F307" si="535">SUM(H307:M307)</f>
        <v>1</v>
      </c>
      <c r="G307" s="508">
        <v>10000</v>
      </c>
      <c r="H307" s="359">
        <v>0</v>
      </c>
      <c r="I307" s="359">
        <v>0</v>
      </c>
      <c r="J307" s="359">
        <v>1</v>
      </c>
      <c r="K307" s="359">
        <v>0</v>
      </c>
      <c r="L307" s="359">
        <v>0</v>
      </c>
      <c r="M307" s="360">
        <f t="shared" si="525"/>
        <v>0</v>
      </c>
      <c r="N307" s="357">
        <f t="shared" ref="N307:N312" si="536">O307*P307</f>
        <v>10000</v>
      </c>
      <c r="O307" s="358">
        <f t="shared" ref="O307:O312" si="537">SUM(Q307:AB307)</f>
        <v>1</v>
      </c>
      <c r="P307" s="537">
        <f t="shared" si="501"/>
        <v>10000</v>
      </c>
      <c r="Q307" s="359">
        <f>'List of equipment'!$Q$274</f>
        <v>1</v>
      </c>
      <c r="R307" s="359">
        <v>0</v>
      </c>
      <c r="S307" s="359">
        <v>0</v>
      </c>
      <c r="T307" s="359">
        <v>0</v>
      </c>
      <c r="U307" s="359">
        <v>0</v>
      </c>
      <c r="V307" s="359">
        <v>0</v>
      </c>
      <c r="W307" s="359">
        <v>0</v>
      </c>
      <c r="X307" s="359">
        <v>0</v>
      </c>
      <c r="Y307" s="359">
        <v>0</v>
      </c>
      <c r="Z307" s="359">
        <v>0</v>
      </c>
      <c r="AA307" s="359">
        <v>0</v>
      </c>
      <c r="AB307" s="360">
        <v>0</v>
      </c>
      <c r="AC307" s="595">
        <f>'List of equipment'!$Q$274</f>
        <v>1</v>
      </c>
      <c r="AD307" s="595" t="str">
        <f t="shared" si="498"/>
        <v>True</v>
      </c>
      <c r="AE307" s="25"/>
      <c r="AF307" s="25"/>
      <c r="AG307" s="25"/>
      <c r="AH307" s="25"/>
      <c r="AI307" s="25"/>
      <c r="AJ307" s="25"/>
      <c r="AK307" s="25"/>
      <c r="AL307" s="25"/>
      <c r="AM307" s="25"/>
      <c r="AN307" s="25"/>
      <c r="AO307" s="25"/>
      <c r="AP307" s="25"/>
    </row>
    <row r="308" spans="1:42">
      <c r="A308" s="331"/>
      <c r="C308" s="47" t="s">
        <v>706</v>
      </c>
      <c r="D308" s="314"/>
      <c r="E308" s="357">
        <f t="shared" ref="E308:E312" si="538">F308*G308</f>
        <v>15000</v>
      </c>
      <c r="F308" s="51">
        <f t="shared" ref="F308:F312" si="539">SUM(H308:M308)</f>
        <v>1</v>
      </c>
      <c r="G308" s="508">
        <v>15000</v>
      </c>
      <c r="H308" s="359">
        <v>0</v>
      </c>
      <c r="I308" s="359">
        <v>0</v>
      </c>
      <c r="J308" s="359">
        <v>1</v>
      </c>
      <c r="K308" s="359">
        <v>0</v>
      </c>
      <c r="L308" s="359">
        <v>0</v>
      </c>
      <c r="M308" s="360">
        <f t="shared" si="525"/>
        <v>0</v>
      </c>
      <c r="N308" s="357">
        <f t="shared" si="536"/>
        <v>15000</v>
      </c>
      <c r="O308" s="358">
        <f t="shared" si="537"/>
        <v>1</v>
      </c>
      <c r="P308" s="537">
        <f t="shared" si="501"/>
        <v>15000</v>
      </c>
      <c r="Q308" s="359">
        <f>'List of equipment'!$Q$275</f>
        <v>1</v>
      </c>
      <c r="R308" s="359">
        <v>0</v>
      </c>
      <c r="S308" s="359">
        <v>0</v>
      </c>
      <c r="T308" s="359">
        <v>0</v>
      </c>
      <c r="U308" s="359">
        <v>0</v>
      </c>
      <c r="V308" s="359">
        <v>0</v>
      </c>
      <c r="W308" s="359">
        <v>0</v>
      </c>
      <c r="X308" s="359">
        <v>0</v>
      </c>
      <c r="Y308" s="359">
        <v>0</v>
      </c>
      <c r="Z308" s="359">
        <v>0</v>
      </c>
      <c r="AA308" s="359">
        <v>0</v>
      </c>
      <c r="AB308" s="360">
        <v>0</v>
      </c>
      <c r="AC308" s="595">
        <f>'List of equipment'!$Q$275</f>
        <v>1</v>
      </c>
      <c r="AD308" s="595" t="str">
        <f t="shared" si="498"/>
        <v>True</v>
      </c>
      <c r="AE308" s="25"/>
      <c r="AF308" s="25"/>
      <c r="AG308" s="25"/>
      <c r="AH308" s="25"/>
      <c r="AI308" s="25"/>
      <c r="AJ308" s="25"/>
      <c r="AK308" s="25"/>
      <c r="AL308" s="25"/>
      <c r="AM308" s="25"/>
      <c r="AN308" s="25"/>
      <c r="AO308" s="25"/>
      <c r="AP308" s="25"/>
    </row>
    <row r="309" spans="1:42">
      <c r="A309" s="331"/>
      <c r="C309" s="47" t="s">
        <v>707</v>
      </c>
      <c r="D309" s="314"/>
      <c r="E309" s="357">
        <f t="shared" si="538"/>
        <v>1000</v>
      </c>
      <c r="F309" s="51">
        <f t="shared" si="539"/>
        <v>1</v>
      </c>
      <c r="G309" s="508">
        <v>1000</v>
      </c>
      <c r="H309" s="359">
        <v>0</v>
      </c>
      <c r="I309" s="359">
        <v>0</v>
      </c>
      <c r="J309" s="359">
        <v>1</v>
      </c>
      <c r="K309" s="359">
        <v>0</v>
      </c>
      <c r="L309" s="359">
        <v>0</v>
      </c>
      <c r="M309" s="360">
        <f t="shared" si="525"/>
        <v>0</v>
      </c>
      <c r="N309" s="357">
        <f t="shared" si="536"/>
        <v>2000</v>
      </c>
      <c r="O309" s="358">
        <f t="shared" si="537"/>
        <v>2</v>
      </c>
      <c r="P309" s="537">
        <f t="shared" si="501"/>
        <v>1000</v>
      </c>
      <c r="Q309" s="359">
        <v>1</v>
      </c>
      <c r="R309" s="359">
        <v>0</v>
      </c>
      <c r="S309" s="359">
        <v>0</v>
      </c>
      <c r="T309" s="359">
        <v>0</v>
      </c>
      <c r="U309" s="359">
        <v>0</v>
      </c>
      <c r="V309" s="359">
        <v>1</v>
      </c>
      <c r="W309" s="359">
        <v>0</v>
      </c>
      <c r="X309" s="359">
        <v>0</v>
      </c>
      <c r="Y309" s="359">
        <v>0</v>
      </c>
      <c r="Z309" s="359">
        <v>0</v>
      </c>
      <c r="AA309" s="359">
        <v>0</v>
      </c>
      <c r="AB309" s="360">
        <v>0</v>
      </c>
      <c r="AC309" s="595">
        <f>'List of equipment'!$Q$278</f>
        <v>2</v>
      </c>
      <c r="AD309" s="595" t="str">
        <f t="shared" si="498"/>
        <v>True</v>
      </c>
      <c r="AE309" s="25"/>
      <c r="AF309" s="25"/>
      <c r="AG309" s="25"/>
      <c r="AH309" s="25"/>
      <c r="AI309" s="25"/>
      <c r="AJ309" s="25"/>
      <c r="AK309" s="25"/>
      <c r="AL309" s="25"/>
      <c r="AM309" s="25"/>
      <c r="AN309" s="25"/>
      <c r="AO309" s="25"/>
      <c r="AP309" s="25"/>
    </row>
    <row r="310" spans="1:42">
      <c r="A310" s="331"/>
      <c r="C310" s="47" t="s">
        <v>708</v>
      </c>
      <c r="D310" s="314"/>
      <c r="E310" s="357">
        <f t="shared" si="538"/>
        <v>499</v>
      </c>
      <c r="F310" s="51">
        <f t="shared" si="539"/>
        <v>1</v>
      </c>
      <c r="G310" s="508">
        <v>499</v>
      </c>
      <c r="H310" s="359">
        <v>0</v>
      </c>
      <c r="I310" s="359">
        <v>0</v>
      </c>
      <c r="J310" s="359">
        <v>1</v>
      </c>
      <c r="K310" s="359">
        <v>0</v>
      </c>
      <c r="L310" s="359">
        <v>0</v>
      </c>
      <c r="M310" s="360">
        <f t="shared" si="525"/>
        <v>0</v>
      </c>
      <c r="N310" s="357">
        <f t="shared" si="536"/>
        <v>499</v>
      </c>
      <c r="O310" s="358">
        <f t="shared" si="537"/>
        <v>1</v>
      </c>
      <c r="P310" s="537">
        <f t="shared" si="501"/>
        <v>499</v>
      </c>
      <c r="Q310" s="359">
        <f>'List of equipment'!$Q$279</f>
        <v>1</v>
      </c>
      <c r="R310" s="359">
        <v>0</v>
      </c>
      <c r="S310" s="359">
        <v>0</v>
      </c>
      <c r="T310" s="359">
        <v>0</v>
      </c>
      <c r="U310" s="359">
        <v>0</v>
      </c>
      <c r="V310" s="359">
        <v>0</v>
      </c>
      <c r="W310" s="359">
        <v>0</v>
      </c>
      <c r="X310" s="359">
        <v>0</v>
      </c>
      <c r="Y310" s="359">
        <v>0</v>
      </c>
      <c r="Z310" s="359">
        <v>0</v>
      </c>
      <c r="AA310" s="359">
        <v>0</v>
      </c>
      <c r="AB310" s="360">
        <v>0</v>
      </c>
      <c r="AC310" s="595">
        <f>'List of equipment'!$Q$279</f>
        <v>1</v>
      </c>
      <c r="AD310" s="595" t="str">
        <f t="shared" si="498"/>
        <v>True</v>
      </c>
      <c r="AE310" s="25"/>
      <c r="AF310" s="25"/>
      <c r="AG310" s="25"/>
      <c r="AH310" s="25"/>
      <c r="AI310" s="25"/>
      <c r="AJ310" s="25"/>
      <c r="AK310" s="25"/>
      <c r="AL310" s="25"/>
      <c r="AM310" s="25"/>
      <c r="AN310" s="25"/>
      <c r="AO310" s="25"/>
      <c r="AP310" s="25"/>
    </row>
    <row r="311" spans="1:42">
      <c r="A311" s="331"/>
      <c r="C311" s="47" t="s">
        <v>709</v>
      </c>
      <c r="D311" s="314"/>
      <c r="E311" s="357">
        <f t="shared" si="538"/>
        <v>1000</v>
      </c>
      <c r="F311" s="51">
        <f t="shared" si="539"/>
        <v>1</v>
      </c>
      <c r="G311" s="508">
        <v>1000</v>
      </c>
      <c r="H311" s="359">
        <v>0</v>
      </c>
      <c r="I311" s="359">
        <v>0</v>
      </c>
      <c r="J311" s="359">
        <v>1</v>
      </c>
      <c r="K311" s="359">
        <v>0</v>
      </c>
      <c r="L311" s="359">
        <v>0</v>
      </c>
      <c r="M311" s="360">
        <f t="shared" si="525"/>
        <v>0</v>
      </c>
      <c r="N311" s="357">
        <f t="shared" si="536"/>
        <v>1000</v>
      </c>
      <c r="O311" s="358">
        <f t="shared" si="537"/>
        <v>1</v>
      </c>
      <c r="P311" s="537">
        <f t="shared" si="501"/>
        <v>1000</v>
      </c>
      <c r="Q311" s="359">
        <f>'List of equipment'!$Q$280</f>
        <v>1</v>
      </c>
      <c r="R311" s="359">
        <v>0</v>
      </c>
      <c r="S311" s="359">
        <v>0</v>
      </c>
      <c r="T311" s="359">
        <v>0</v>
      </c>
      <c r="U311" s="359">
        <v>0</v>
      </c>
      <c r="V311" s="359">
        <v>0</v>
      </c>
      <c r="W311" s="359">
        <v>0</v>
      </c>
      <c r="X311" s="359">
        <v>0</v>
      </c>
      <c r="Y311" s="359">
        <v>0</v>
      </c>
      <c r="Z311" s="359">
        <v>0</v>
      </c>
      <c r="AA311" s="359">
        <v>0</v>
      </c>
      <c r="AB311" s="360">
        <v>0</v>
      </c>
      <c r="AC311" s="595">
        <f>'List of equipment'!$Q$280</f>
        <v>1</v>
      </c>
      <c r="AD311" s="595" t="str">
        <f t="shared" si="498"/>
        <v>True</v>
      </c>
      <c r="AE311" s="25"/>
      <c r="AF311" s="25"/>
      <c r="AG311" s="25"/>
      <c r="AH311" s="25"/>
      <c r="AI311" s="25"/>
      <c r="AJ311" s="25"/>
      <c r="AK311" s="25"/>
      <c r="AL311" s="25"/>
      <c r="AM311" s="25"/>
      <c r="AN311" s="25"/>
      <c r="AO311" s="25"/>
      <c r="AP311" s="25"/>
    </row>
    <row r="312" spans="1:42">
      <c r="A312" s="331"/>
      <c r="C312" s="47" t="s">
        <v>710</v>
      </c>
      <c r="D312" s="314"/>
      <c r="E312" s="357">
        <f t="shared" si="538"/>
        <v>1000</v>
      </c>
      <c r="F312" s="51">
        <f t="shared" si="539"/>
        <v>1</v>
      </c>
      <c r="G312" s="508">
        <v>1000</v>
      </c>
      <c r="H312" s="359">
        <v>0</v>
      </c>
      <c r="I312" s="359">
        <v>0</v>
      </c>
      <c r="J312" s="359">
        <v>1</v>
      </c>
      <c r="K312" s="359">
        <v>0</v>
      </c>
      <c r="L312" s="359">
        <v>0</v>
      </c>
      <c r="M312" s="360">
        <f t="shared" si="525"/>
        <v>0</v>
      </c>
      <c r="N312" s="357">
        <f t="shared" si="536"/>
        <v>1000</v>
      </c>
      <c r="O312" s="358">
        <f t="shared" si="537"/>
        <v>1</v>
      </c>
      <c r="P312" s="537">
        <f t="shared" si="501"/>
        <v>1000</v>
      </c>
      <c r="Q312" s="359">
        <f>'List of equipment'!$Q$281</f>
        <v>1</v>
      </c>
      <c r="R312" s="359">
        <v>0</v>
      </c>
      <c r="S312" s="359">
        <v>0</v>
      </c>
      <c r="T312" s="359">
        <v>0</v>
      </c>
      <c r="U312" s="359">
        <v>0</v>
      </c>
      <c r="V312" s="359">
        <v>0</v>
      </c>
      <c r="W312" s="359">
        <v>0</v>
      </c>
      <c r="X312" s="359">
        <v>0</v>
      </c>
      <c r="Y312" s="359">
        <v>0</v>
      </c>
      <c r="Z312" s="359">
        <v>0</v>
      </c>
      <c r="AA312" s="359">
        <v>0</v>
      </c>
      <c r="AB312" s="360">
        <v>0</v>
      </c>
      <c r="AC312" s="595">
        <f>'List of equipment'!$Q$281</f>
        <v>1</v>
      </c>
      <c r="AD312" s="595" t="str">
        <f t="shared" si="498"/>
        <v>True</v>
      </c>
      <c r="AE312" s="25"/>
      <c r="AF312" s="25"/>
      <c r="AG312" s="25"/>
      <c r="AH312" s="25"/>
      <c r="AI312" s="25"/>
      <c r="AJ312" s="25"/>
      <c r="AK312" s="25"/>
      <c r="AL312" s="25"/>
      <c r="AM312" s="25"/>
      <c r="AN312" s="25"/>
      <c r="AO312" s="25"/>
      <c r="AP312" s="25"/>
    </row>
    <row r="313" spans="1:42">
      <c r="A313" s="331"/>
      <c r="C313" s="497" t="s">
        <v>698</v>
      </c>
      <c r="D313" s="314"/>
      <c r="E313" s="357"/>
      <c r="F313" s="51"/>
      <c r="G313" s="507"/>
      <c r="H313" s="51"/>
      <c r="I313" s="51"/>
      <c r="J313" s="51"/>
      <c r="K313" s="51"/>
      <c r="L313" s="51"/>
      <c r="M313" s="368"/>
      <c r="N313" s="357"/>
      <c r="O313" s="358"/>
      <c r="P313" s="537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368"/>
      <c r="AC313" s="595"/>
      <c r="AD313" s="595"/>
      <c r="AE313" s="25"/>
      <c r="AF313" s="25"/>
      <c r="AG313" s="25"/>
      <c r="AH313" s="25"/>
      <c r="AI313" s="25"/>
      <c r="AJ313" s="25"/>
      <c r="AK313" s="25"/>
      <c r="AL313" s="25"/>
      <c r="AM313" s="25"/>
      <c r="AN313" s="25"/>
      <c r="AO313" s="25"/>
      <c r="AP313" s="25"/>
    </row>
    <row r="314" spans="1:42">
      <c r="A314" s="331"/>
      <c r="C314" s="47" t="s">
        <v>703</v>
      </c>
      <c r="D314" s="314"/>
      <c r="E314" s="369">
        <f t="shared" ref="E314" si="540">F314*G314</f>
        <v>400000</v>
      </c>
      <c r="F314" s="34">
        <f t="shared" ref="F314" si="541">SUM(H314:M314)</f>
        <v>1</v>
      </c>
      <c r="G314" s="562">
        <v>400000</v>
      </c>
      <c r="H314" s="563">
        <v>0</v>
      </c>
      <c r="I314" s="563">
        <v>0</v>
      </c>
      <c r="J314" s="563">
        <v>1</v>
      </c>
      <c r="K314" s="563">
        <v>0</v>
      </c>
      <c r="L314" s="563">
        <v>0</v>
      </c>
      <c r="M314" s="564">
        <f t="shared" si="525"/>
        <v>0</v>
      </c>
      <c r="N314" s="357">
        <f>O314*P314</f>
        <v>800000</v>
      </c>
      <c r="O314" s="358">
        <f>SUM(Q314:AB314)</f>
        <v>2</v>
      </c>
      <c r="P314" s="565">
        <f t="shared" si="501"/>
        <v>400000</v>
      </c>
      <c r="Q314" s="359">
        <v>0</v>
      </c>
      <c r="R314" s="359">
        <v>0</v>
      </c>
      <c r="S314" s="359">
        <v>0</v>
      </c>
      <c r="T314" s="359">
        <v>0</v>
      </c>
      <c r="U314" s="359">
        <v>0</v>
      </c>
      <c r="V314" s="359">
        <v>1</v>
      </c>
      <c r="W314" s="359">
        <v>0</v>
      </c>
      <c r="X314" s="359">
        <v>0</v>
      </c>
      <c r="Y314" s="359">
        <v>0</v>
      </c>
      <c r="Z314" s="359">
        <v>0</v>
      </c>
      <c r="AA314" s="359">
        <v>0</v>
      </c>
      <c r="AB314" s="360">
        <v>1</v>
      </c>
      <c r="AC314" s="595">
        <f>COUNTIF('Medic Equipment'!$E$4:$E$31,'Medic Equipment'!$E$23)/2</f>
        <v>2</v>
      </c>
      <c r="AD314" s="595" t="str">
        <f t="shared" si="498"/>
        <v>True</v>
      </c>
      <c r="AE314" s="25"/>
      <c r="AF314" s="25"/>
      <c r="AG314" s="25"/>
      <c r="AH314" s="25"/>
      <c r="AI314" s="25"/>
      <c r="AJ314" s="25"/>
      <c r="AK314" s="25"/>
      <c r="AL314" s="25"/>
      <c r="AM314" s="25"/>
      <c r="AN314" s="25"/>
      <c r="AO314" s="25"/>
      <c r="AP314" s="25"/>
    </row>
    <row r="315" spans="1:42" s="25" customFormat="1">
      <c r="A315" s="331"/>
      <c r="B315" s="453"/>
      <c r="C315" s="499" t="s">
        <v>234</v>
      </c>
      <c r="D315" s="343"/>
      <c r="E315" s="370">
        <f ca="1">SUM(E268:E314)</f>
        <v>1589819</v>
      </c>
      <c r="F315" s="501"/>
      <c r="G315" s="567"/>
      <c r="H315" s="501"/>
      <c r="I315" s="501"/>
      <c r="J315" s="501"/>
      <c r="K315" s="501"/>
      <c r="L315" s="501"/>
      <c r="M315" s="568"/>
      <c r="N315" s="370">
        <f ca="1">SUM(N268:N314)</f>
        <v>2481044</v>
      </c>
      <c r="O315" s="538"/>
      <c r="P315" s="539"/>
      <c r="Q315" s="503"/>
      <c r="R315" s="503"/>
      <c r="S315" s="503"/>
      <c r="T315" s="503"/>
      <c r="U315" s="503"/>
      <c r="V315" s="503"/>
      <c r="W315" s="503"/>
      <c r="X315" s="503"/>
      <c r="Y315" s="503"/>
      <c r="Z315" s="503"/>
      <c r="AA315" s="503"/>
      <c r="AB315" s="504"/>
      <c r="AC315" s="595"/>
      <c r="AD315" s="595"/>
    </row>
    <row r="316" spans="1:42" s="48" customFormat="1">
      <c r="A316" s="511"/>
      <c r="B316" s="641"/>
      <c r="D316" s="314"/>
      <c r="E316" s="456"/>
      <c r="F316" s="51"/>
      <c r="G316" s="512"/>
      <c r="H316" s="51"/>
      <c r="I316" s="51"/>
      <c r="J316" s="51"/>
      <c r="K316" s="51"/>
      <c r="L316" s="51"/>
      <c r="M316" s="51"/>
      <c r="N316" s="456"/>
      <c r="O316" s="521"/>
      <c r="P316" s="367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97"/>
      <c r="AD316" s="597"/>
    </row>
    <row r="317" spans="1:42" ht="15">
      <c r="A317" s="331"/>
      <c r="C317" s="534" t="s">
        <v>228</v>
      </c>
      <c r="D317" s="496"/>
      <c r="E317" s="363"/>
      <c r="F317" s="364"/>
      <c r="G317" s="505"/>
      <c r="H317" s="364"/>
      <c r="I317" s="364"/>
      <c r="J317" s="364"/>
      <c r="K317" s="364"/>
      <c r="L317" s="364"/>
      <c r="M317" s="365"/>
      <c r="N317" s="540"/>
      <c r="O317" s="542"/>
      <c r="P317" s="535"/>
      <c r="Q317" s="514"/>
      <c r="R317" s="514"/>
      <c r="S317" s="515"/>
      <c r="T317" s="455"/>
      <c r="U317" s="455"/>
      <c r="V317" s="455"/>
      <c r="W317" s="455"/>
      <c r="X317" s="455"/>
      <c r="Y317" s="455"/>
      <c r="Z317" s="455"/>
      <c r="AA317" s="455"/>
      <c r="AB317" s="516"/>
      <c r="AC317" s="595"/>
      <c r="AD317" s="595"/>
      <c r="AE317" s="25"/>
      <c r="AF317" s="25"/>
      <c r="AG317" s="25"/>
      <c r="AH317" s="25"/>
      <c r="AI317" s="25"/>
      <c r="AJ317" s="25"/>
      <c r="AK317" s="25"/>
      <c r="AL317" s="25"/>
      <c r="AM317" s="25"/>
      <c r="AN317" s="25"/>
      <c r="AO317" s="25"/>
      <c r="AP317" s="25"/>
    </row>
    <row r="318" spans="1:42">
      <c r="A318" s="331"/>
      <c r="C318" s="47" t="s">
        <v>51</v>
      </c>
      <c r="D318" s="314"/>
      <c r="E318" s="357">
        <f t="shared" ref="E318" si="542">F318*G318</f>
        <v>625200</v>
      </c>
      <c r="F318" s="368">
        <f t="shared" ref="F318" si="543">SUM(H318:M318)</f>
        <v>1</v>
      </c>
      <c r="G318" s="508">
        <v>625200</v>
      </c>
      <c r="H318" s="533">
        <v>0</v>
      </c>
      <c r="I318" s="359">
        <v>0</v>
      </c>
      <c r="J318" s="359">
        <f>SUMIF('List of equipment'!$O:$O,'List of equipment'!$O$211,'List of equipment'!$Q:$Q)</f>
        <v>1</v>
      </c>
      <c r="K318" s="359">
        <v>0</v>
      </c>
      <c r="L318" s="359">
        <v>0</v>
      </c>
      <c r="M318" s="360">
        <v>0</v>
      </c>
      <c r="N318" s="357">
        <f>O318*P318</f>
        <v>0</v>
      </c>
      <c r="O318" s="543">
        <f>SUM(Q318:AB318)</f>
        <v>0</v>
      </c>
      <c r="P318" s="537">
        <f>G318</f>
        <v>625200</v>
      </c>
      <c r="Q318" s="533">
        <v>0</v>
      </c>
      <c r="R318" s="359">
        <v>0</v>
      </c>
      <c r="S318" s="359"/>
      <c r="T318" s="359">
        <v>0</v>
      </c>
      <c r="U318" s="359">
        <v>0</v>
      </c>
      <c r="V318" s="359">
        <v>0</v>
      </c>
      <c r="W318" s="359">
        <v>0</v>
      </c>
      <c r="X318" s="359">
        <v>0</v>
      </c>
      <c r="Y318" s="359">
        <v>0</v>
      </c>
      <c r="Z318" s="359">
        <v>0</v>
      </c>
      <c r="AA318" s="359">
        <v>0</v>
      </c>
      <c r="AB318" s="360">
        <v>0</v>
      </c>
      <c r="AC318" s="595">
        <f>SUMIF('List of equipment'!$O:$O,'List of equipment'!$O$211,'List of equipment'!$Q:$Q)</f>
        <v>1</v>
      </c>
      <c r="AD318" s="595" t="str">
        <f t="shared" ref="AD318:AD333" si="544">IF(SUM(F318,O318)-AC318&gt;=0,"True","False")</f>
        <v>True</v>
      </c>
      <c r="AE318" s="25"/>
      <c r="AF318" s="25"/>
      <c r="AG318" s="25"/>
      <c r="AH318" s="25"/>
      <c r="AI318" s="25"/>
      <c r="AJ318" s="25"/>
      <c r="AK318" s="25"/>
      <c r="AL318" s="25"/>
      <c r="AM318" s="25"/>
      <c r="AN318" s="25"/>
      <c r="AO318" s="25"/>
      <c r="AP318" s="25"/>
    </row>
    <row r="319" spans="1:42">
      <c r="A319" s="331"/>
      <c r="C319" s="47" t="s">
        <v>1628</v>
      </c>
      <c r="D319" s="314"/>
      <c r="E319" s="357">
        <f t="shared" ref="E319:E333" si="545">F319*G319</f>
        <v>350000</v>
      </c>
      <c r="F319" s="368">
        <f t="shared" ref="F319:F333" si="546">SUM(H319:M319)</f>
        <v>1</v>
      </c>
      <c r="G319" s="508">
        <v>350000</v>
      </c>
      <c r="H319" s="533">
        <v>0</v>
      </c>
      <c r="I319" s="359">
        <v>0</v>
      </c>
      <c r="J319" s="359">
        <v>1</v>
      </c>
      <c r="K319" s="359">
        <v>0</v>
      </c>
      <c r="L319" s="359">
        <v>0</v>
      </c>
      <c r="M319" s="360">
        <v>0</v>
      </c>
      <c r="N319" s="357">
        <f t="shared" ref="N319:N333" si="547">O319*P319</f>
        <v>0</v>
      </c>
      <c r="O319" s="543">
        <f t="shared" ref="O319:O333" si="548">SUM(Q319:AB319)</f>
        <v>0</v>
      </c>
      <c r="P319" s="537">
        <f t="shared" ref="P319:P333" si="549">G319</f>
        <v>350000</v>
      </c>
      <c r="Q319" s="533">
        <v>0</v>
      </c>
      <c r="R319" s="359">
        <v>0</v>
      </c>
      <c r="S319" s="359"/>
      <c r="T319" s="359">
        <v>0</v>
      </c>
      <c r="U319" s="359">
        <v>0</v>
      </c>
      <c r="V319" s="359">
        <v>0</v>
      </c>
      <c r="W319" s="359">
        <v>0</v>
      </c>
      <c r="X319" s="359">
        <v>0</v>
      </c>
      <c r="Y319" s="359">
        <v>0</v>
      </c>
      <c r="Z319" s="359">
        <v>0</v>
      </c>
      <c r="AA319" s="359">
        <v>0</v>
      </c>
      <c r="AB319" s="360">
        <v>0</v>
      </c>
      <c r="AC319" s="595">
        <f>SUMIF('List of equipment'!$O:$O,'List of equipment'!O210,'List of equipment'!$Q:$Q)</f>
        <v>1</v>
      </c>
      <c r="AD319" s="595" t="str">
        <f t="shared" si="544"/>
        <v>True</v>
      </c>
      <c r="AE319" s="25"/>
      <c r="AF319" s="25"/>
      <c r="AG319" s="25"/>
      <c r="AH319" s="25"/>
      <c r="AI319" s="25"/>
      <c r="AJ319" s="25"/>
      <c r="AK319" s="25"/>
      <c r="AL319" s="25"/>
      <c r="AM319" s="25"/>
      <c r="AN319" s="25"/>
      <c r="AO319" s="25"/>
      <c r="AP319" s="25"/>
    </row>
    <row r="320" spans="1:42">
      <c r="A320" s="331"/>
      <c r="C320" s="47" t="s">
        <v>1629</v>
      </c>
      <c r="D320" s="314"/>
      <c r="E320" s="357">
        <f t="shared" si="545"/>
        <v>20500</v>
      </c>
      <c r="F320" s="368">
        <f t="shared" si="546"/>
        <v>1</v>
      </c>
      <c r="G320" s="508">
        <v>20500</v>
      </c>
      <c r="H320" s="533">
        <v>0</v>
      </c>
      <c r="I320" s="359">
        <v>0</v>
      </c>
      <c r="J320" s="359">
        <v>1</v>
      </c>
      <c r="K320" s="359">
        <v>0</v>
      </c>
      <c r="L320" s="359">
        <v>0</v>
      </c>
      <c r="M320" s="360">
        <v>0</v>
      </c>
      <c r="N320" s="357">
        <f t="shared" si="547"/>
        <v>41000</v>
      </c>
      <c r="O320" s="543">
        <f t="shared" si="548"/>
        <v>2</v>
      </c>
      <c r="P320" s="537">
        <f t="shared" si="549"/>
        <v>20500</v>
      </c>
      <c r="Q320" s="533">
        <v>0</v>
      </c>
      <c r="R320" s="359">
        <v>0</v>
      </c>
      <c r="S320" s="359">
        <v>1</v>
      </c>
      <c r="T320" s="359">
        <v>0</v>
      </c>
      <c r="U320" s="359">
        <v>0</v>
      </c>
      <c r="V320" s="359">
        <v>0</v>
      </c>
      <c r="W320" s="359">
        <v>0</v>
      </c>
      <c r="X320" s="359">
        <v>0</v>
      </c>
      <c r="Y320" s="359">
        <v>0</v>
      </c>
      <c r="Z320" s="359">
        <v>0</v>
      </c>
      <c r="AA320" s="359">
        <v>0</v>
      </c>
      <c r="AB320" s="360">
        <v>1</v>
      </c>
      <c r="AC320" s="595">
        <f>SUM('List of equipment'!Q213:Q214)</f>
        <v>2</v>
      </c>
      <c r="AD320" s="595" t="str">
        <f t="shared" si="544"/>
        <v>True</v>
      </c>
      <c r="AE320" s="25"/>
      <c r="AF320" s="25"/>
      <c r="AG320" s="25"/>
      <c r="AH320" s="25"/>
      <c r="AI320" s="25"/>
      <c r="AJ320" s="25"/>
      <c r="AK320" s="25"/>
      <c r="AL320" s="25"/>
      <c r="AM320" s="25"/>
      <c r="AN320" s="25"/>
      <c r="AO320" s="25"/>
      <c r="AP320" s="25"/>
    </row>
    <row r="321" spans="1:42">
      <c r="A321" s="331"/>
      <c r="C321" s="47" t="s">
        <v>1630</v>
      </c>
      <c r="D321" s="314"/>
      <c r="E321" s="357">
        <f t="shared" si="545"/>
        <v>0</v>
      </c>
      <c r="F321" s="368">
        <f t="shared" si="546"/>
        <v>0</v>
      </c>
      <c r="G321" s="508">
        <v>3120</v>
      </c>
      <c r="H321" s="533">
        <v>0</v>
      </c>
      <c r="I321" s="359">
        <v>0</v>
      </c>
      <c r="J321" s="359">
        <v>0</v>
      </c>
      <c r="K321" s="359">
        <v>0</v>
      </c>
      <c r="L321" s="359">
        <v>0</v>
      </c>
      <c r="M321" s="360">
        <v>0</v>
      </c>
      <c r="N321" s="357">
        <f t="shared" si="547"/>
        <v>6240</v>
      </c>
      <c r="O321" s="543">
        <f t="shared" si="548"/>
        <v>2</v>
      </c>
      <c r="P321" s="537">
        <f t="shared" si="549"/>
        <v>3120</v>
      </c>
      <c r="Q321" s="533">
        <v>0</v>
      </c>
      <c r="R321" s="359">
        <v>0</v>
      </c>
      <c r="S321" s="359">
        <v>1</v>
      </c>
      <c r="T321" s="359">
        <v>0</v>
      </c>
      <c r="U321" s="359">
        <v>0</v>
      </c>
      <c r="V321" s="359">
        <v>0</v>
      </c>
      <c r="W321" s="359">
        <v>0</v>
      </c>
      <c r="X321" s="359">
        <v>0</v>
      </c>
      <c r="Y321" s="359">
        <v>0</v>
      </c>
      <c r="Z321" s="359">
        <v>0</v>
      </c>
      <c r="AA321" s="359">
        <v>0</v>
      </c>
      <c r="AB321" s="360">
        <v>1</v>
      </c>
      <c r="AC321" s="595">
        <f>SUM('List of equipment'!Q216)</f>
        <v>1</v>
      </c>
      <c r="AD321" s="595" t="str">
        <f t="shared" si="544"/>
        <v>True</v>
      </c>
      <c r="AE321" s="25"/>
      <c r="AF321" s="25"/>
      <c r="AG321" s="25"/>
      <c r="AH321" s="25"/>
      <c r="AI321" s="25"/>
      <c r="AJ321" s="25"/>
      <c r="AK321" s="25"/>
      <c r="AL321" s="25"/>
      <c r="AM321" s="25"/>
      <c r="AN321" s="25"/>
      <c r="AO321" s="25"/>
      <c r="AP321" s="25"/>
    </row>
    <row r="322" spans="1:42">
      <c r="A322" s="331"/>
      <c r="B322" s="453" t="s">
        <v>1746</v>
      </c>
      <c r="C322" s="47" t="s">
        <v>1745</v>
      </c>
      <c r="D322" s="314"/>
      <c r="E322" s="357">
        <f t="shared" si="545"/>
        <v>83000</v>
      </c>
      <c r="F322" s="368">
        <v>1</v>
      </c>
      <c r="G322" s="508">
        <v>83000</v>
      </c>
      <c r="H322" s="533">
        <v>0</v>
      </c>
      <c r="I322" s="359">
        <v>0</v>
      </c>
      <c r="J322" s="359">
        <v>0</v>
      </c>
      <c r="K322" s="359">
        <v>0</v>
      </c>
      <c r="L322" s="359">
        <v>0</v>
      </c>
      <c r="M322" s="360">
        <v>0</v>
      </c>
      <c r="N322" s="357">
        <f t="shared" si="547"/>
        <v>83000</v>
      </c>
      <c r="O322" s="543">
        <f t="shared" si="548"/>
        <v>1</v>
      </c>
      <c r="P322" s="537">
        <f t="shared" si="549"/>
        <v>83000</v>
      </c>
      <c r="Q322" s="359">
        <v>0</v>
      </c>
      <c r="R322" s="359">
        <v>0</v>
      </c>
      <c r="S322" s="359">
        <v>1</v>
      </c>
      <c r="T322" s="359">
        <v>0</v>
      </c>
      <c r="U322" s="359">
        <v>0</v>
      </c>
      <c r="V322" s="359"/>
      <c r="W322" s="359">
        <v>0</v>
      </c>
      <c r="X322" s="359">
        <v>0</v>
      </c>
      <c r="Y322" s="359">
        <v>0</v>
      </c>
      <c r="Z322" s="359">
        <v>0</v>
      </c>
      <c r="AA322" s="359">
        <v>0</v>
      </c>
      <c r="AB322" s="360">
        <v>0</v>
      </c>
      <c r="AC322" s="595">
        <f>SUMIF('List of equipment'!$O:$O,'List of equipment'!O217,'List of equipment'!$Q:$Q)</f>
        <v>1</v>
      </c>
      <c r="AD322" s="595" t="str">
        <f t="shared" si="544"/>
        <v>True</v>
      </c>
      <c r="AE322" s="25"/>
      <c r="AF322" s="25"/>
      <c r="AG322" s="25"/>
      <c r="AH322" s="25"/>
      <c r="AI322" s="25"/>
      <c r="AJ322" s="25"/>
      <c r="AK322" s="25"/>
      <c r="AL322" s="25"/>
      <c r="AM322" s="25"/>
      <c r="AN322" s="25"/>
      <c r="AO322" s="25"/>
      <c r="AP322" s="25"/>
    </row>
    <row r="323" spans="1:42">
      <c r="A323" s="331"/>
      <c r="C323" s="47" t="s">
        <v>1632</v>
      </c>
      <c r="D323" s="314"/>
      <c r="E323" s="357">
        <f t="shared" si="545"/>
        <v>75000</v>
      </c>
      <c r="F323" s="368">
        <v>1</v>
      </c>
      <c r="G323" s="508">
        <v>75000</v>
      </c>
      <c r="H323" s="533">
        <v>0</v>
      </c>
      <c r="I323" s="359">
        <v>0</v>
      </c>
      <c r="J323" s="359">
        <v>0</v>
      </c>
      <c r="K323" s="359">
        <v>0</v>
      </c>
      <c r="L323" s="359">
        <v>0</v>
      </c>
      <c r="M323" s="360">
        <v>0</v>
      </c>
      <c r="N323" s="357">
        <f t="shared" si="547"/>
        <v>75000</v>
      </c>
      <c r="O323" s="543">
        <f t="shared" si="548"/>
        <v>1</v>
      </c>
      <c r="P323" s="537">
        <f t="shared" si="549"/>
        <v>75000</v>
      </c>
      <c r="Q323" s="359">
        <v>0</v>
      </c>
      <c r="R323" s="359">
        <v>0</v>
      </c>
      <c r="S323" s="359">
        <v>1</v>
      </c>
      <c r="T323" s="359">
        <v>0</v>
      </c>
      <c r="U323" s="359">
        <v>0</v>
      </c>
      <c r="V323" s="359"/>
      <c r="W323" s="359">
        <v>0</v>
      </c>
      <c r="X323" s="359">
        <v>0</v>
      </c>
      <c r="Y323" s="359">
        <v>0</v>
      </c>
      <c r="Z323" s="359">
        <v>0</v>
      </c>
      <c r="AA323" s="359">
        <v>0</v>
      </c>
      <c r="AB323" s="360">
        <v>0</v>
      </c>
      <c r="AC323" s="595">
        <f>'List of equipment'!Q219</f>
        <v>1</v>
      </c>
      <c r="AD323" s="595" t="str">
        <f t="shared" si="544"/>
        <v>True</v>
      </c>
      <c r="AE323" s="25"/>
      <c r="AF323" s="25"/>
      <c r="AG323" s="25"/>
      <c r="AH323" s="25"/>
      <c r="AI323" s="25"/>
      <c r="AJ323" s="25"/>
      <c r="AK323" s="25"/>
      <c r="AL323" s="25"/>
      <c r="AM323" s="25"/>
      <c r="AN323" s="25"/>
      <c r="AO323" s="25"/>
      <c r="AP323" s="25"/>
    </row>
    <row r="324" spans="1:42">
      <c r="A324" s="331"/>
      <c r="C324" s="47" t="s">
        <v>1631</v>
      </c>
      <c r="D324" s="314"/>
      <c r="E324" s="357">
        <f t="shared" si="545"/>
        <v>0</v>
      </c>
      <c r="F324" s="368">
        <f t="shared" si="546"/>
        <v>0</v>
      </c>
      <c r="G324" s="508">
        <v>82000</v>
      </c>
      <c r="H324" s="533">
        <v>0</v>
      </c>
      <c r="I324" s="359">
        <v>0</v>
      </c>
      <c r="J324" s="359">
        <v>0</v>
      </c>
      <c r="K324" s="359">
        <v>0</v>
      </c>
      <c r="L324" s="359">
        <v>0</v>
      </c>
      <c r="M324" s="360">
        <v>0</v>
      </c>
      <c r="N324" s="357">
        <f t="shared" si="547"/>
        <v>82000</v>
      </c>
      <c r="O324" s="543">
        <f t="shared" si="548"/>
        <v>1</v>
      </c>
      <c r="P324" s="537">
        <f t="shared" si="549"/>
        <v>82000</v>
      </c>
      <c r="Q324" s="359">
        <v>0</v>
      </c>
      <c r="R324" s="359">
        <v>0</v>
      </c>
      <c r="S324" s="359">
        <v>1</v>
      </c>
      <c r="T324" s="359">
        <v>0</v>
      </c>
      <c r="U324" s="359">
        <v>0</v>
      </c>
      <c r="V324" s="359"/>
      <c r="W324" s="359">
        <v>0</v>
      </c>
      <c r="X324" s="359">
        <v>0</v>
      </c>
      <c r="Y324" s="359">
        <v>0</v>
      </c>
      <c r="Z324" s="359">
        <v>0</v>
      </c>
      <c r="AA324" s="359">
        <v>0</v>
      </c>
      <c r="AB324" s="360">
        <v>0</v>
      </c>
      <c r="AC324" s="595">
        <v>0</v>
      </c>
      <c r="AD324" s="595" t="str">
        <f t="shared" si="544"/>
        <v>True</v>
      </c>
      <c r="AE324" s="25"/>
      <c r="AF324" s="25"/>
      <c r="AG324" s="25"/>
      <c r="AH324" s="25"/>
      <c r="AI324" s="25"/>
      <c r="AJ324" s="25"/>
      <c r="AK324" s="25"/>
      <c r="AL324" s="25"/>
      <c r="AM324" s="25"/>
      <c r="AN324" s="25"/>
      <c r="AO324" s="25"/>
      <c r="AP324" s="25"/>
    </row>
    <row r="325" spans="1:42">
      <c r="A325" s="331"/>
      <c r="C325" s="47" t="s">
        <v>1633</v>
      </c>
      <c r="D325" s="314"/>
      <c r="E325" s="357">
        <f t="shared" si="545"/>
        <v>22000</v>
      </c>
      <c r="F325" s="368">
        <f t="shared" si="546"/>
        <v>1</v>
      </c>
      <c r="G325" s="508">
        <v>22000</v>
      </c>
      <c r="H325" s="533">
        <v>0</v>
      </c>
      <c r="I325" s="359">
        <v>0</v>
      </c>
      <c r="J325" s="359">
        <v>1</v>
      </c>
      <c r="K325" s="359">
        <v>0</v>
      </c>
      <c r="L325" s="359">
        <v>0</v>
      </c>
      <c r="M325" s="360">
        <v>0</v>
      </c>
      <c r="N325" s="357">
        <f t="shared" si="547"/>
        <v>44000</v>
      </c>
      <c r="O325" s="543">
        <f t="shared" si="548"/>
        <v>2</v>
      </c>
      <c r="P325" s="537">
        <f t="shared" si="549"/>
        <v>22000</v>
      </c>
      <c r="Q325" s="359">
        <v>0</v>
      </c>
      <c r="R325" s="359">
        <v>0</v>
      </c>
      <c r="S325" s="359">
        <v>1</v>
      </c>
      <c r="T325" s="359">
        <v>0</v>
      </c>
      <c r="U325" s="359">
        <v>0</v>
      </c>
      <c r="V325" s="359"/>
      <c r="W325" s="359">
        <v>0</v>
      </c>
      <c r="X325" s="359">
        <v>0</v>
      </c>
      <c r="Y325" s="359">
        <v>0</v>
      </c>
      <c r="Z325" s="359">
        <v>0</v>
      </c>
      <c r="AA325" s="359">
        <v>0</v>
      </c>
      <c r="AB325" s="360">
        <v>1</v>
      </c>
      <c r="AC325" s="595">
        <f>'List of equipment'!Q220</f>
        <v>4</v>
      </c>
      <c r="AD325" s="595" t="str">
        <f t="shared" si="544"/>
        <v>False</v>
      </c>
      <c r="AE325" s="25"/>
      <c r="AF325" s="25"/>
      <c r="AG325" s="25"/>
      <c r="AH325" s="25"/>
      <c r="AI325" s="25"/>
      <c r="AJ325" s="25"/>
      <c r="AK325" s="25"/>
      <c r="AL325" s="25"/>
      <c r="AM325" s="25"/>
      <c r="AN325" s="25"/>
      <c r="AO325" s="25"/>
      <c r="AP325" s="25"/>
    </row>
    <row r="326" spans="1:42">
      <c r="A326" s="331"/>
      <c r="C326" s="47" t="s">
        <v>1634</v>
      </c>
      <c r="D326" s="314"/>
      <c r="E326" s="357">
        <f t="shared" si="545"/>
        <v>0</v>
      </c>
      <c r="F326" s="368">
        <f t="shared" si="546"/>
        <v>0</v>
      </c>
      <c r="G326" s="508">
        <v>32200</v>
      </c>
      <c r="H326" s="533">
        <v>0</v>
      </c>
      <c r="I326" s="359">
        <v>0</v>
      </c>
      <c r="J326" s="359">
        <v>0</v>
      </c>
      <c r="K326" s="359">
        <v>0</v>
      </c>
      <c r="L326" s="359">
        <v>0</v>
      </c>
      <c r="M326" s="360">
        <v>0</v>
      </c>
      <c r="N326" s="357">
        <f t="shared" si="547"/>
        <v>32200</v>
      </c>
      <c r="O326" s="543">
        <f t="shared" si="548"/>
        <v>1</v>
      </c>
      <c r="P326" s="537">
        <f t="shared" si="549"/>
        <v>32200</v>
      </c>
      <c r="Q326" s="359">
        <v>0</v>
      </c>
      <c r="R326" s="359">
        <v>0</v>
      </c>
      <c r="S326" s="359">
        <v>1</v>
      </c>
      <c r="T326" s="359">
        <v>0</v>
      </c>
      <c r="U326" s="359">
        <v>0</v>
      </c>
      <c r="V326" s="359"/>
      <c r="W326" s="359">
        <v>0</v>
      </c>
      <c r="X326" s="359">
        <v>0</v>
      </c>
      <c r="Y326" s="359">
        <v>0</v>
      </c>
      <c r="Z326" s="359">
        <v>0</v>
      </c>
      <c r="AA326" s="359">
        <v>0</v>
      </c>
      <c r="AB326" s="360">
        <v>0</v>
      </c>
      <c r="AC326" s="595">
        <f>SUMIF('List of equipment'!$O:$O,'List of equipment'!$O$211,'List of equipment'!$Q:$Q)</f>
        <v>1</v>
      </c>
      <c r="AD326" s="595" t="str">
        <f t="shared" si="544"/>
        <v>True</v>
      </c>
      <c r="AE326" s="25"/>
      <c r="AF326" s="25"/>
      <c r="AG326" s="25"/>
      <c r="AH326" s="25"/>
      <c r="AI326" s="25"/>
      <c r="AJ326" s="25"/>
      <c r="AK326" s="25"/>
      <c r="AL326" s="25"/>
      <c r="AM326" s="25"/>
      <c r="AN326" s="25"/>
      <c r="AO326" s="25"/>
      <c r="AP326" s="25"/>
    </row>
    <row r="327" spans="1:42">
      <c r="A327" s="331"/>
      <c r="B327" s="453" t="s">
        <v>1725</v>
      </c>
      <c r="C327" s="47" t="s">
        <v>1726</v>
      </c>
      <c r="D327" s="314"/>
      <c r="E327" s="357">
        <f t="shared" si="545"/>
        <v>65000</v>
      </c>
      <c r="F327" s="368">
        <f t="shared" si="546"/>
        <v>1</v>
      </c>
      <c r="G327" s="508">
        <v>65000</v>
      </c>
      <c r="H327" s="533">
        <v>0</v>
      </c>
      <c r="I327" s="359">
        <v>0</v>
      </c>
      <c r="J327" s="359">
        <v>1</v>
      </c>
      <c r="K327" s="359">
        <v>0</v>
      </c>
      <c r="L327" s="359">
        <v>0</v>
      </c>
      <c r="M327" s="360">
        <v>0</v>
      </c>
      <c r="N327" s="357">
        <f t="shared" si="547"/>
        <v>65000</v>
      </c>
      <c r="O327" s="543">
        <f t="shared" si="548"/>
        <v>1</v>
      </c>
      <c r="P327" s="537">
        <f t="shared" si="549"/>
        <v>65000</v>
      </c>
      <c r="Q327" s="359">
        <v>0</v>
      </c>
      <c r="R327" s="359">
        <v>0</v>
      </c>
      <c r="S327" s="359">
        <v>1</v>
      </c>
      <c r="T327" s="359">
        <v>0</v>
      </c>
      <c r="U327" s="359">
        <v>0</v>
      </c>
      <c r="V327" s="359">
        <v>0</v>
      </c>
      <c r="W327" s="359">
        <v>0</v>
      </c>
      <c r="X327" s="359">
        <v>0</v>
      </c>
      <c r="Y327" s="359">
        <v>0</v>
      </c>
      <c r="Z327" s="359">
        <v>0</v>
      </c>
      <c r="AA327" s="359">
        <v>0</v>
      </c>
      <c r="AB327" s="360">
        <v>0</v>
      </c>
      <c r="AC327" s="595">
        <f>'List of equipment'!Q246+'List of equipment'!Q245</f>
        <v>4</v>
      </c>
      <c r="AD327" s="595" t="str">
        <f t="shared" si="544"/>
        <v>False</v>
      </c>
      <c r="AE327" s="25"/>
      <c r="AF327" s="25"/>
      <c r="AG327" s="25"/>
      <c r="AH327" s="25"/>
      <c r="AI327" s="25"/>
      <c r="AJ327" s="25"/>
      <c r="AK327" s="25"/>
      <c r="AL327" s="25"/>
      <c r="AM327" s="25"/>
      <c r="AN327" s="25"/>
      <c r="AO327" s="25"/>
      <c r="AP327" s="25"/>
    </row>
    <row r="328" spans="1:42">
      <c r="A328" s="331"/>
      <c r="B328" s="453" t="s">
        <v>1727</v>
      </c>
      <c r="C328" s="47" t="s">
        <v>1728</v>
      </c>
      <c r="D328" s="314"/>
      <c r="E328" s="357">
        <f t="shared" si="545"/>
        <v>0</v>
      </c>
      <c r="F328" s="368">
        <f t="shared" si="546"/>
        <v>0</v>
      </c>
      <c r="G328" s="508">
        <v>50000</v>
      </c>
      <c r="H328" s="533">
        <v>0</v>
      </c>
      <c r="I328" s="359">
        <v>0</v>
      </c>
      <c r="J328" s="359">
        <v>0</v>
      </c>
      <c r="K328" s="359">
        <v>0</v>
      </c>
      <c r="L328" s="359">
        <v>0</v>
      </c>
      <c r="M328" s="360">
        <v>0</v>
      </c>
      <c r="N328" s="357">
        <f t="shared" si="547"/>
        <v>50000</v>
      </c>
      <c r="O328" s="543">
        <f t="shared" si="548"/>
        <v>1</v>
      </c>
      <c r="P328" s="537">
        <f t="shared" si="549"/>
        <v>50000</v>
      </c>
      <c r="Q328" s="359">
        <v>0</v>
      </c>
      <c r="R328" s="359">
        <v>0</v>
      </c>
      <c r="S328" s="359">
        <v>1</v>
      </c>
      <c r="T328" s="359">
        <v>0</v>
      </c>
      <c r="U328" s="359">
        <v>0</v>
      </c>
      <c r="V328" s="359">
        <v>0</v>
      </c>
      <c r="W328" s="359">
        <v>0</v>
      </c>
      <c r="X328" s="359">
        <v>0</v>
      </c>
      <c r="Y328" s="359">
        <v>0</v>
      </c>
      <c r="Z328" s="359">
        <v>0</v>
      </c>
      <c r="AA328" s="359">
        <v>0</v>
      </c>
      <c r="AB328" s="360">
        <v>0</v>
      </c>
      <c r="AC328" s="595">
        <f>'List of equipment'!Q250</f>
        <v>1</v>
      </c>
      <c r="AD328" s="595" t="str">
        <f t="shared" si="544"/>
        <v>True</v>
      </c>
      <c r="AE328" s="25"/>
      <c r="AF328" s="25"/>
      <c r="AG328" s="25"/>
      <c r="AH328" s="25"/>
      <c r="AI328" s="25"/>
      <c r="AJ328" s="25"/>
      <c r="AK328" s="25"/>
      <c r="AL328" s="25"/>
      <c r="AM328" s="25"/>
      <c r="AN328" s="25"/>
      <c r="AO328" s="25"/>
      <c r="AP328" s="25"/>
    </row>
    <row r="329" spans="1:42">
      <c r="A329" s="331"/>
      <c r="B329" s="453" t="s">
        <v>1729</v>
      </c>
      <c r="C329" s="47" t="s">
        <v>1730</v>
      </c>
      <c r="D329" s="314"/>
      <c r="E329" s="357">
        <f t="shared" si="545"/>
        <v>0</v>
      </c>
      <c r="F329" s="368">
        <f t="shared" si="546"/>
        <v>0</v>
      </c>
      <c r="G329" s="508">
        <v>40000</v>
      </c>
      <c r="H329" s="533">
        <v>0</v>
      </c>
      <c r="I329" s="359">
        <v>0</v>
      </c>
      <c r="J329" s="359">
        <v>0</v>
      </c>
      <c r="K329" s="359">
        <v>0</v>
      </c>
      <c r="L329" s="359">
        <v>0</v>
      </c>
      <c r="M329" s="360">
        <v>0</v>
      </c>
      <c r="N329" s="357">
        <f t="shared" si="547"/>
        <v>40000</v>
      </c>
      <c r="O329" s="543">
        <f t="shared" si="548"/>
        <v>1</v>
      </c>
      <c r="P329" s="537">
        <f t="shared" si="549"/>
        <v>40000</v>
      </c>
      <c r="Q329" s="359">
        <v>0</v>
      </c>
      <c r="R329" s="359">
        <v>0</v>
      </c>
      <c r="S329" s="359">
        <v>1</v>
      </c>
      <c r="T329" s="359">
        <v>0</v>
      </c>
      <c r="U329" s="359">
        <v>0</v>
      </c>
      <c r="V329" s="359">
        <v>0</v>
      </c>
      <c r="W329" s="359">
        <v>0</v>
      </c>
      <c r="X329" s="359">
        <v>0</v>
      </c>
      <c r="Y329" s="359"/>
      <c r="Z329" s="359">
        <v>0</v>
      </c>
      <c r="AA329" s="359">
        <v>0</v>
      </c>
      <c r="AB329" s="360">
        <v>0</v>
      </c>
      <c r="AC329" s="595">
        <v>0</v>
      </c>
      <c r="AD329" s="595" t="str">
        <f t="shared" si="544"/>
        <v>True</v>
      </c>
      <c r="AE329" s="25"/>
      <c r="AF329" s="25"/>
      <c r="AG329" s="25"/>
      <c r="AH329" s="25"/>
      <c r="AI329" s="25"/>
      <c r="AJ329" s="25"/>
      <c r="AK329" s="25"/>
      <c r="AL329" s="25"/>
      <c r="AM329" s="25"/>
      <c r="AN329" s="25"/>
      <c r="AO329" s="25"/>
      <c r="AP329" s="25"/>
    </row>
    <row r="330" spans="1:42">
      <c r="A330" s="331"/>
      <c r="C330" s="47" t="s">
        <v>1635</v>
      </c>
      <c r="D330" s="314"/>
      <c r="E330" s="357">
        <f t="shared" si="545"/>
        <v>49720</v>
      </c>
      <c r="F330" s="368">
        <f t="shared" si="546"/>
        <v>1</v>
      </c>
      <c r="G330" s="508">
        <v>49720</v>
      </c>
      <c r="H330" s="533">
        <v>0</v>
      </c>
      <c r="I330" s="359">
        <v>0</v>
      </c>
      <c r="J330" s="359">
        <v>1</v>
      </c>
      <c r="K330" s="359">
        <v>0</v>
      </c>
      <c r="L330" s="359">
        <v>0</v>
      </c>
      <c r="M330" s="360">
        <v>0</v>
      </c>
      <c r="N330" s="357">
        <f t="shared" si="547"/>
        <v>49720</v>
      </c>
      <c r="O330" s="543">
        <f t="shared" si="548"/>
        <v>1</v>
      </c>
      <c r="P330" s="537">
        <f t="shared" si="549"/>
        <v>49720</v>
      </c>
      <c r="Q330" s="533">
        <v>0</v>
      </c>
      <c r="R330" s="359">
        <v>0</v>
      </c>
      <c r="S330" s="359">
        <v>1</v>
      </c>
      <c r="T330" s="359">
        <v>0</v>
      </c>
      <c r="U330" s="359">
        <v>0</v>
      </c>
      <c r="V330" s="359">
        <v>0</v>
      </c>
      <c r="W330" s="359">
        <v>0</v>
      </c>
      <c r="X330" s="359">
        <v>0</v>
      </c>
      <c r="Y330" s="359">
        <v>0</v>
      </c>
      <c r="Z330" s="359">
        <v>0</v>
      </c>
      <c r="AA330" s="359">
        <v>0</v>
      </c>
      <c r="AB330" s="360">
        <v>0</v>
      </c>
      <c r="AC330" s="595">
        <f>SUMIF('List of equipment'!$O:$O,'List of equipment'!$O$218,'List of equipment'!$Q:$Q)</f>
        <v>1</v>
      </c>
      <c r="AD330" s="595" t="str">
        <f t="shared" si="544"/>
        <v>True</v>
      </c>
      <c r="AE330" s="25"/>
      <c r="AF330" s="25"/>
      <c r="AG330" s="25"/>
      <c r="AH330" s="25"/>
      <c r="AI330" s="25"/>
      <c r="AJ330" s="25"/>
      <c r="AK330" s="25"/>
      <c r="AL330" s="25"/>
      <c r="AM330" s="25"/>
      <c r="AN330" s="25"/>
      <c r="AO330" s="25"/>
      <c r="AP330" s="25"/>
    </row>
    <row r="331" spans="1:42">
      <c r="A331" s="331"/>
      <c r="B331" s="453" t="s">
        <v>1732</v>
      </c>
      <c r="C331" s="47" t="s">
        <v>1731</v>
      </c>
      <c r="D331" s="314"/>
      <c r="E331" s="357">
        <f t="shared" si="545"/>
        <v>5886</v>
      </c>
      <c r="F331" s="368">
        <f t="shared" si="546"/>
        <v>1</v>
      </c>
      <c r="G331" s="508">
        <v>5886</v>
      </c>
      <c r="H331" s="533">
        <v>0</v>
      </c>
      <c r="I331" s="359">
        <v>0</v>
      </c>
      <c r="J331" s="359">
        <v>1</v>
      </c>
      <c r="K331" s="359">
        <v>0</v>
      </c>
      <c r="L331" s="359">
        <v>0</v>
      </c>
      <c r="M331" s="360">
        <v>0</v>
      </c>
      <c r="N331" s="357">
        <f t="shared" si="547"/>
        <v>5886</v>
      </c>
      <c r="O331" s="543">
        <f t="shared" si="548"/>
        <v>1</v>
      </c>
      <c r="P331" s="537">
        <f t="shared" si="549"/>
        <v>5886</v>
      </c>
      <c r="Q331" s="533">
        <v>0</v>
      </c>
      <c r="R331" s="359">
        <v>0</v>
      </c>
      <c r="S331" s="359">
        <v>1</v>
      </c>
      <c r="T331" s="359">
        <v>0</v>
      </c>
      <c r="U331" s="359">
        <v>0</v>
      </c>
      <c r="V331" s="359">
        <v>0</v>
      </c>
      <c r="W331" s="359">
        <v>0</v>
      </c>
      <c r="X331" s="359">
        <v>0</v>
      </c>
      <c r="Y331" s="359">
        <v>0</v>
      </c>
      <c r="Z331" s="359">
        <v>0</v>
      </c>
      <c r="AA331" s="359">
        <v>0</v>
      </c>
      <c r="AB331" s="360">
        <v>0</v>
      </c>
      <c r="AC331" s="595">
        <f>'List of equipment'!Q234</f>
        <v>2</v>
      </c>
      <c r="AD331" s="595" t="str">
        <f t="shared" si="544"/>
        <v>True</v>
      </c>
      <c r="AE331" s="25"/>
      <c r="AF331" s="25"/>
      <c r="AG331" s="25"/>
      <c r="AH331" s="25"/>
      <c r="AI331" s="25"/>
      <c r="AJ331" s="25"/>
      <c r="AK331" s="25"/>
      <c r="AL331" s="25"/>
      <c r="AM331" s="25"/>
      <c r="AN331" s="25"/>
      <c r="AO331" s="25"/>
      <c r="AP331" s="25"/>
    </row>
    <row r="332" spans="1:42">
      <c r="A332" s="331"/>
      <c r="C332" s="47" t="s">
        <v>1650</v>
      </c>
      <c r="D332" s="314"/>
      <c r="E332" s="357">
        <f t="shared" ref="E332" si="550">F332*G332</f>
        <v>1000000</v>
      </c>
      <c r="F332" s="368">
        <f t="shared" ref="F332" si="551">SUM(H332:M332)</f>
        <v>1</v>
      </c>
      <c r="G332" s="508">
        <v>1000000</v>
      </c>
      <c r="H332" s="533">
        <v>0</v>
      </c>
      <c r="I332" s="359">
        <v>0</v>
      </c>
      <c r="J332" s="359">
        <v>1</v>
      </c>
      <c r="K332" s="359">
        <v>0</v>
      </c>
      <c r="L332" s="359">
        <v>0</v>
      </c>
      <c r="M332" s="360">
        <v>0</v>
      </c>
      <c r="N332" s="357">
        <f t="shared" ref="N332" si="552">O332*P332</f>
        <v>0</v>
      </c>
      <c r="O332" s="543">
        <f t="shared" ref="O332" si="553">SUM(Q332:AB332)</f>
        <v>0</v>
      </c>
      <c r="P332" s="537">
        <f t="shared" ref="P332" si="554">G332</f>
        <v>1000000</v>
      </c>
      <c r="Q332" s="533">
        <v>0</v>
      </c>
      <c r="R332" s="359">
        <v>0</v>
      </c>
      <c r="S332" s="359"/>
      <c r="T332" s="359">
        <v>0</v>
      </c>
      <c r="U332" s="359">
        <v>0</v>
      </c>
      <c r="V332" s="359">
        <v>0</v>
      </c>
      <c r="W332" s="359">
        <v>0</v>
      </c>
      <c r="X332" s="359">
        <v>0</v>
      </c>
      <c r="Y332" s="359">
        <v>0</v>
      </c>
      <c r="Z332" s="359">
        <v>0</v>
      </c>
      <c r="AA332" s="359">
        <v>0</v>
      </c>
      <c r="AB332" s="360">
        <v>0</v>
      </c>
      <c r="AC332" s="595"/>
      <c r="AD332" s="595"/>
      <c r="AE332" s="25"/>
      <c r="AF332" s="25"/>
      <c r="AG332" s="25"/>
      <c r="AH332" s="25"/>
      <c r="AI332" s="25"/>
      <c r="AJ332" s="25"/>
      <c r="AK332" s="25"/>
      <c r="AL332" s="25"/>
      <c r="AM332" s="25"/>
      <c r="AN332" s="25"/>
      <c r="AO332" s="25"/>
      <c r="AP332" s="25"/>
    </row>
    <row r="333" spans="1:42">
      <c r="A333" s="331"/>
      <c r="B333" s="453" t="s">
        <v>742</v>
      </c>
      <c r="C333" s="47" t="s">
        <v>1733</v>
      </c>
      <c r="D333" s="314"/>
      <c r="E333" s="357">
        <f t="shared" si="545"/>
        <v>0</v>
      </c>
      <c r="F333" s="368">
        <f t="shared" si="546"/>
        <v>0</v>
      </c>
      <c r="G333" s="508">
        <v>1250</v>
      </c>
      <c r="H333" s="533">
        <v>0</v>
      </c>
      <c r="I333" s="359">
        <v>0</v>
      </c>
      <c r="J333" s="359">
        <v>0</v>
      </c>
      <c r="K333" s="359">
        <v>0</v>
      </c>
      <c r="L333" s="359">
        <v>0</v>
      </c>
      <c r="M333" s="360">
        <v>0</v>
      </c>
      <c r="N333" s="357">
        <f t="shared" si="547"/>
        <v>1250</v>
      </c>
      <c r="O333" s="543">
        <f t="shared" si="548"/>
        <v>1</v>
      </c>
      <c r="P333" s="537">
        <f t="shared" si="549"/>
        <v>1250</v>
      </c>
      <c r="Q333" s="533">
        <v>0</v>
      </c>
      <c r="R333" s="359">
        <v>0</v>
      </c>
      <c r="S333" s="359">
        <v>1</v>
      </c>
      <c r="T333" s="359">
        <v>0</v>
      </c>
      <c r="U333" s="359">
        <v>0</v>
      </c>
      <c r="V333" s="359">
        <v>0</v>
      </c>
      <c r="W333" s="359">
        <v>0</v>
      </c>
      <c r="X333" s="359">
        <v>0</v>
      </c>
      <c r="Y333" s="359">
        <v>0</v>
      </c>
      <c r="Z333" s="359">
        <v>0</v>
      </c>
      <c r="AA333" s="359">
        <v>0</v>
      </c>
      <c r="AB333" s="360">
        <v>0</v>
      </c>
      <c r="AC333" s="595">
        <v>0</v>
      </c>
      <c r="AD333" s="595" t="str">
        <f t="shared" si="544"/>
        <v>True</v>
      </c>
      <c r="AE333" s="25"/>
      <c r="AF333" s="25"/>
      <c r="AG333" s="25"/>
      <c r="AH333" s="25"/>
      <c r="AI333" s="25"/>
      <c r="AJ333" s="25"/>
      <c r="AK333" s="25"/>
      <c r="AL333" s="25"/>
      <c r="AM333" s="25"/>
      <c r="AN333" s="25"/>
      <c r="AO333" s="25"/>
      <c r="AP333" s="25"/>
    </row>
    <row r="334" spans="1:42" s="25" customFormat="1" ht="15">
      <c r="A334" s="331"/>
      <c r="B334" s="453"/>
      <c r="C334" s="499" t="s">
        <v>234</v>
      </c>
      <c r="D334" s="343"/>
      <c r="E334" s="370">
        <f>SUM(E318:E333)</f>
        <v>2296306</v>
      </c>
      <c r="F334" s="503"/>
      <c r="G334" s="525"/>
      <c r="H334" s="503"/>
      <c r="I334" s="503"/>
      <c r="J334" s="503"/>
      <c r="K334" s="503"/>
      <c r="L334" s="503"/>
      <c r="M334" s="504"/>
      <c r="N334" s="370">
        <f>SUM(N318:N333)</f>
        <v>575296</v>
      </c>
      <c r="O334" s="545"/>
      <c r="P334" s="546"/>
      <c r="Q334" s="527"/>
      <c r="R334" s="527"/>
      <c r="S334" s="528"/>
      <c r="T334" s="524"/>
      <c r="U334" s="524"/>
      <c r="V334" s="524"/>
      <c r="W334" s="524"/>
      <c r="X334" s="524"/>
      <c r="Y334" s="524"/>
      <c r="Z334" s="524"/>
      <c r="AA334" s="524"/>
      <c r="AB334" s="529"/>
      <c r="AC334" s="595"/>
      <c r="AD334" s="595"/>
    </row>
    <row r="335" spans="1:42" s="48" customFormat="1" ht="15">
      <c r="A335" s="511"/>
      <c r="B335" s="641"/>
      <c r="D335" s="314"/>
      <c r="E335" s="456"/>
      <c r="F335" s="51"/>
      <c r="G335" s="512"/>
      <c r="H335" s="51"/>
      <c r="I335" s="51"/>
      <c r="J335" s="51"/>
      <c r="K335" s="51"/>
      <c r="L335" s="51"/>
      <c r="M335" s="51"/>
      <c r="N335" s="349"/>
      <c r="O335" s="350"/>
      <c r="P335" s="351"/>
      <c r="Q335" s="352"/>
      <c r="R335" s="352"/>
      <c r="S335" s="348"/>
      <c r="AC335" s="597"/>
      <c r="AD335" s="597"/>
    </row>
    <row r="336" spans="1:42" s="25" customFormat="1" ht="15">
      <c r="A336" s="331"/>
      <c r="B336" s="453"/>
      <c r="C336" s="534" t="s">
        <v>766</v>
      </c>
      <c r="D336" s="496"/>
      <c r="E336" s="363"/>
      <c r="F336" s="364"/>
      <c r="G336" s="505"/>
      <c r="H336" s="364"/>
      <c r="I336" s="364"/>
      <c r="J336" s="364"/>
      <c r="K336" s="364"/>
      <c r="L336" s="364"/>
      <c r="M336" s="365"/>
      <c r="N336" s="522"/>
      <c r="O336" s="513"/>
      <c r="P336" s="535"/>
      <c r="Q336" s="514"/>
      <c r="R336" s="514"/>
      <c r="S336" s="515"/>
      <c r="T336" s="455"/>
      <c r="U336" s="455"/>
      <c r="V336" s="455"/>
      <c r="W336" s="455"/>
      <c r="X336" s="455"/>
      <c r="Y336" s="455"/>
      <c r="Z336" s="455"/>
      <c r="AA336" s="455"/>
      <c r="AB336" s="516"/>
      <c r="AC336" s="595"/>
      <c r="AD336" s="595"/>
    </row>
    <row r="337" spans="1:42">
      <c r="A337" s="331"/>
      <c r="C337" s="47" t="s">
        <v>767</v>
      </c>
      <c r="D337" s="314"/>
      <c r="E337" s="357">
        <f t="shared" ref="E337" si="555">F337*G337</f>
        <v>3000</v>
      </c>
      <c r="F337" s="368">
        <f t="shared" ref="F337" si="556">SUM(H337:M337)</f>
        <v>1</v>
      </c>
      <c r="G337" s="508">
        <f>250*12</f>
        <v>3000</v>
      </c>
      <c r="H337" s="533">
        <v>0</v>
      </c>
      <c r="I337" s="359">
        <v>0</v>
      </c>
      <c r="J337" s="359">
        <v>0</v>
      </c>
      <c r="K337" s="359">
        <v>0</v>
      </c>
      <c r="L337" s="359">
        <v>0</v>
      </c>
      <c r="M337" s="360">
        <v>1</v>
      </c>
      <c r="N337" s="357">
        <f t="shared" ref="N337" si="557">O337*P337</f>
        <v>3000</v>
      </c>
      <c r="O337" s="543">
        <f t="shared" ref="O337" si="558">SUM(Q337:AB337)</f>
        <v>1</v>
      </c>
      <c r="P337" s="537">
        <f>G337</f>
        <v>3000</v>
      </c>
      <c r="Q337" s="359">
        <v>0</v>
      </c>
      <c r="R337" s="359">
        <v>0</v>
      </c>
      <c r="S337" s="359">
        <v>1</v>
      </c>
      <c r="T337" s="359">
        <v>0</v>
      </c>
      <c r="U337" s="359">
        <v>0</v>
      </c>
      <c r="V337" s="359">
        <v>0</v>
      </c>
      <c r="W337" s="359">
        <v>0</v>
      </c>
      <c r="X337" s="359">
        <v>0</v>
      </c>
      <c r="Y337" s="359">
        <v>0</v>
      </c>
      <c r="Z337" s="359">
        <v>0</v>
      </c>
      <c r="AA337" s="359">
        <v>0</v>
      </c>
      <c r="AB337" s="360">
        <v>0</v>
      </c>
      <c r="AC337" s="595"/>
      <c r="AD337" s="595" t="str">
        <f t="shared" ref="AD337:AD350" si="559">IF(SUM(F337,O337)-AC337&gt;=0,"True","False")</f>
        <v>True</v>
      </c>
      <c r="AE337" s="25"/>
      <c r="AF337" s="25"/>
      <c r="AG337" s="25"/>
      <c r="AH337" s="25"/>
      <c r="AI337" s="25"/>
      <c r="AJ337" s="25"/>
      <c r="AK337" s="25"/>
      <c r="AL337" s="25"/>
      <c r="AM337" s="25"/>
      <c r="AN337" s="25"/>
      <c r="AO337" s="25"/>
      <c r="AP337" s="25"/>
    </row>
    <row r="338" spans="1:42">
      <c r="A338" s="331"/>
      <c r="C338" s="47" t="s">
        <v>768</v>
      </c>
      <c r="D338" s="314"/>
      <c r="E338" s="357">
        <f t="shared" ref="E338:E350" si="560">F338*G338</f>
        <v>1</v>
      </c>
      <c r="F338" s="368">
        <f t="shared" ref="F338:F350" si="561">SUM(H338:M338)</f>
        <v>1</v>
      </c>
      <c r="G338" s="508">
        <v>1</v>
      </c>
      <c r="H338" s="533">
        <v>0</v>
      </c>
      <c r="I338" s="359">
        <v>0</v>
      </c>
      <c r="J338" s="359">
        <v>0</v>
      </c>
      <c r="K338" s="359">
        <v>0</v>
      </c>
      <c r="L338" s="359">
        <v>0</v>
      </c>
      <c r="M338" s="360">
        <v>1</v>
      </c>
      <c r="N338" s="357">
        <f t="shared" ref="N338:N350" si="562">O338*P338</f>
        <v>1</v>
      </c>
      <c r="O338" s="543">
        <f t="shared" ref="O338:O350" si="563">SUM(Q338:AB338)</f>
        <v>1</v>
      </c>
      <c r="P338" s="537">
        <f t="shared" ref="P338:P350" si="564">G338</f>
        <v>1</v>
      </c>
      <c r="Q338" s="359">
        <v>0</v>
      </c>
      <c r="R338" s="359">
        <v>0</v>
      </c>
      <c r="S338" s="359">
        <v>1</v>
      </c>
      <c r="T338" s="359">
        <v>0</v>
      </c>
      <c r="U338" s="359">
        <v>0</v>
      </c>
      <c r="V338" s="359">
        <v>0</v>
      </c>
      <c r="W338" s="359">
        <v>0</v>
      </c>
      <c r="X338" s="359">
        <v>0</v>
      </c>
      <c r="Y338" s="359">
        <v>0</v>
      </c>
      <c r="Z338" s="359">
        <v>0</v>
      </c>
      <c r="AA338" s="359">
        <v>0</v>
      </c>
      <c r="AB338" s="360">
        <v>0</v>
      </c>
      <c r="AC338" s="595"/>
      <c r="AD338" s="595" t="str">
        <f t="shared" si="559"/>
        <v>True</v>
      </c>
      <c r="AE338" s="25"/>
      <c r="AF338" s="25"/>
      <c r="AG338" s="25"/>
      <c r="AH338" s="25"/>
      <c r="AI338" s="25"/>
      <c r="AJ338" s="25"/>
      <c r="AK338" s="25"/>
      <c r="AL338" s="25"/>
      <c r="AM338" s="25"/>
      <c r="AN338" s="25"/>
      <c r="AO338" s="25"/>
      <c r="AP338" s="25"/>
    </row>
    <row r="339" spans="1:42">
      <c r="A339" s="331"/>
      <c r="C339" s="47" t="s">
        <v>769</v>
      </c>
      <c r="D339" s="314"/>
      <c r="E339" s="357">
        <f t="shared" si="560"/>
        <v>0</v>
      </c>
      <c r="F339" s="368">
        <f t="shared" si="561"/>
        <v>0</v>
      </c>
      <c r="G339" s="508">
        <v>150</v>
      </c>
      <c r="H339" s="533">
        <v>0</v>
      </c>
      <c r="I339" s="359">
        <v>0</v>
      </c>
      <c r="J339" s="359">
        <v>0</v>
      </c>
      <c r="K339" s="359">
        <v>0</v>
      </c>
      <c r="L339" s="359">
        <v>0</v>
      </c>
      <c r="M339" s="360">
        <v>0</v>
      </c>
      <c r="N339" s="357">
        <f t="shared" si="562"/>
        <v>150</v>
      </c>
      <c r="O339" s="543">
        <f t="shared" si="563"/>
        <v>1</v>
      </c>
      <c r="P339" s="537">
        <f t="shared" si="564"/>
        <v>150</v>
      </c>
      <c r="Q339" s="359">
        <v>0</v>
      </c>
      <c r="R339" s="359">
        <v>0</v>
      </c>
      <c r="S339" s="359">
        <v>1</v>
      </c>
      <c r="T339" s="359">
        <v>0</v>
      </c>
      <c r="U339" s="359">
        <v>0</v>
      </c>
      <c r="V339" s="359">
        <v>0</v>
      </c>
      <c r="W339" s="359">
        <v>0</v>
      </c>
      <c r="X339" s="359">
        <v>0</v>
      </c>
      <c r="Y339" s="359">
        <v>0</v>
      </c>
      <c r="Z339" s="359">
        <v>0</v>
      </c>
      <c r="AA339" s="359">
        <v>0</v>
      </c>
      <c r="AB339" s="360">
        <v>0</v>
      </c>
      <c r="AC339" s="595"/>
      <c r="AD339" s="595" t="str">
        <f t="shared" si="559"/>
        <v>True</v>
      </c>
      <c r="AE339" s="25"/>
      <c r="AF339" s="25"/>
      <c r="AG339" s="25"/>
      <c r="AH339" s="25"/>
      <c r="AI339" s="25"/>
      <c r="AJ339" s="25"/>
      <c r="AK339" s="25"/>
      <c r="AL339" s="25"/>
      <c r="AM339" s="25"/>
      <c r="AN339" s="25"/>
      <c r="AO339" s="25"/>
      <c r="AP339" s="25"/>
    </row>
    <row r="340" spans="1:42">
      <c r="A340" s="331"/>
      <c r="C340" s="47" t="s">
        <v>770</v>
      </c>
      <c r="D340" s="314"/>
      <c r="E340" s="357">
        <f t="shared" si="560"/>
        <v>8000</v>
      </c>
      <c r="F340" s="368">
        <f t="shared" si="561"/>
        <v>16</v>
      </c>
      <c r="G340" s="508">
        <v>500</v>
      </c>
      <c r="H340" s="533">
        <v>0</v>
      </c>
      <c r="I340" s="359">
        <v>0</v>
      </c>
      <c r="J340" s="359">
        <v>0</v>
      </c>
      <c r="K340" s="359">
        <v>0</v>
      </c>
      <c r="L340" s="359">
        <v>0</v>
      </c>
      <c r="M340" s="360">
        <v>16</v>
      </c>
      <c r="N340" s="357">
        <f t="shared" si="562"/>
        <v>5000</v>
      </c>
      <c r="O340" s="543">
        <f t="shared" si="563"/>
        <v>10</v>
      </c>
      <c r="P340" s="537">
        <f t="shared" si="564"/>
        <v>500</v>
      </c>
      <c r="Q340" s="359">
        <f>SUM('App 9_Yr1 Headcount'!K171:K172,'App 9_Yr1 Headcount'!K171:K173,'App 9_Yr1 Headcount'!K178:K183,'App 9_Yr1 Headcount'!K241:K242,'App 9_Yr1 Headcount'!K245:K246,'App 9_Yr1 Headcount'!K251)</f>
        <v>10</v>
      </c>
      <c r="R340" s="359">
        <v>0</v>
      </c>
      <c r="S340" s="359">
        <v>0</v>
      </c>
      <c r="T340" s="359">
        <v>0</v>
      </c>
      <c r="U340" s="359">
        <v>0</v>
      </c>
      <c r="V340" s="359">
        <v>0</v>
      </c>
      <c r="W340" s="359">
        <v>0</v>
      </c>
      <c r="X340" s="359">
        <v>0</v>
      </c>
      <c r="Y340" s="359">
        <v>0</v>
      </c>
      <c r="Z340" s="359">
        <v>0</v>
      </c>
      <c r="AA340" s="359">
        <v>0</v>
      </c>
      <c r="AB340" s="360">
        <v>0</v>
      </c>
      <c r="AC340" s="595">
        <f>SUMIF('List of equipment'!$O:$O,'List of equipment'!$O148,'List of equipment'!$Q:$Q)</f>
        <v>16</v>
      </c>
      <c r="AD340" s="595" t="str">
        <f t="shared" si="559"/>
        <v>True</v>
      </c>
      <c r="AE340" s="25"/>
      <c r="AF340" s="25"/>
      <c r="AG340" s="25"/>
      <c r="AH340" s="25"/>
      <c r="AI340" s="25"/>
      <c r="AJ340" s="25"/>
      <c r="AK340" s="25"/>
      <c r="AL340" s="25"/>
      <c r="AM340" s="25"/>
      <c r="AN340" s="25"/>
      <c r="AO340" s="25"/>
      <c r="AP340" s="25"/>
    </row>
    <row r="341" spans="1:42">
      <c r="A341" s="331"/>
      <c r="C341" s="47" t="s">
        <v>771</v>
      </c>
      <c r="D341" s="314"/>
      <c r="E341" s="357">
        <f t="shared" si="560"/>
        <v>1600</v>
      </c>
      <c r="F341" s="368">
        <f t="shared" si="561"/>
        <v>8</v>
      </c>
      <c r="G341" s="508">
        <v>200</v>
      </c>
      <c r="H341" s="533">
        <v>0</v>
      </c>
      <c r="I341" s="359">
        <v>0</v>
      </c>
      <c r="J341" s="359">
        <v>0</v>
      </c>
      <c r="K341" s="359">
        <v>0</v>
      </c>
      <c r="L341" s="359">
        <v>0</v>
      </c>
      <c r="M341" s="360">
        <v>8</v>
      </c>
      <c r="N341" s="357">
        <f t="shared" si="562"/>
        <v>200</v>
      </c>
      <c r="O341" s="543">
        <f t="shared" si="563"/>
        <v>1</v>
      </c>
      <c r="P341" s="537">
        <f t="shared" si="564"/>
        <v>200</v>
      </c>
      <c r="Q341" s="359">
        <v>0</v>
      </c>
      <c r="R341" s="359">
        <v>0</v>
      </c>
      <c r="S341" s="359">
        <v>1</v>
      </c>
      <c r="T341" s="359">
        <v>0</v>
      </c>
      <c r="U341" s="359">
        <v>0</v>
      </c>
      <c r="V341" s="359">
        <v>0</v>
      </c>
      <c r="W341" s="359">
        <v>0</v>
      </c>
      <c r="X341" s="359">
        <v>0</v>
      </c>
      <c r="Y341" s="359">
        <v>0</v>
      </c>
      <c r="Z341" s="359">
        <v>0</v>
      </c>
      <c r="AA341" s="359">
        <v>0</v>
      </c>
      <c r="AB341" s="360">
        <v>0</v>
      </c>
      <c r="AC341" s="595"/>
      <c r="AD341" s="595" t="str">
        <f t="shared" si="559"/>
        <v>True</v>
      </c>
      <c r="AE341" s="25"/>
      <c r="AF341" s="25"/>
      <c r="AG341" s="25"/>
      <c r="AH341" s="25"/>
      <c r="AI341" s="25"/>
      <c r="AJ341" s="25"/>
      <c r="AK341" s="25"/>
      <c r="AL341" s="25"/>
      <c r="AM341" s="25"/>
      <c r="AN341" s="25"/>
      <c r="AO341" s="25"/>
      <c r="AP341" s="25"/>
    </row>
    <row r="342" spans="1:42">
      <c r="A342" s="331"/>
      <c r="C342" s="47" t="s">
        <v>772</v>
      </c>
      <c r="D342" s="314"/>
      <c r="E342" s="357">
        <f t="shared" si="560"/>
        <v>0</v>
      </c>
      <c r="F342" s="368">
        <f t="shared" si="561"/>
        <v>0</v>
      </c>
      <c r="G342" s="508">
        <v>250</v>
      </c>
      <c r="H342" s="533">
        <v>0</v>
      </c>
      <c r="I342" s="359">
        <v>0</v>
      </c>
      <c r="J342" s="359">
        <v>0</v>
      </c>
      <c r="K342" s="359">
        <v>0</v>
      </c>
      <c r="L342" s="359">
        <v>0</v>
      </c>
      <c r="M342" s="360">
        <v>0</v>
      </c>
      <c r="N342" s="357">
        <f t="shared" si="562"/>
        <v>250</v>
      </c>
      <c r="O342" s="543">
        <f t="shared" si="563"/>
        <v>1</v>
      </c>
      <c r="P342" s="537">
        <f t="shared" si="564"/>
        <v>250</v>
      </c>
      <c r="Q342" s="359">
        <v>0</v>
      </c>
      <c r="R342" s="359">
        <v>0</v>
      </c>
      <c r="S342" s="359">
        <v>1</v>
      </c>
      <c r="T342" s="359">
        <v>0</v>
      </c>
      <c r="U342" s="359">
        <v>0</v>
      </c>
      <c r="V342" s="359">
        <v>0</v>
      </c>
      <c r="W342" s="359">
        <v>0</v>
      </c>
      <c r="X342" s="359">
        <v>0</v>
      </c>
      <c r="Y342" s="359">
        <v>0</v>
      </c>
      <c r="Z342" s="359">
        <v>0</v>
      </c>
      <c r="AA342" s="359">
        <v>0</v>
      </c>
      <c r="AB342" s="360">
        <v>0</v>
      </c>
      <c r="AC342" s="595"/>
      <c r="AD342" s="595" t="str">
        <f t="shared" si="559"/>
        <v>True</v>
      </c>
      <c r="AE342" s="25"/>
      <c r="AF342" s="25"/>
      <c r="AG342" s="25"/>
      <c r="AH342" s="25"/>
      <c r="AI342" s="25"/>
      <c r="AJ342" s="25"/>
      <c r="AK342" s="25"/>
      <c r="AL342" s="25"/>
      <c r="AM342" s="25"/>
      <c r="AN342" s="25"/>
      <c r="AO342" s="25"/>
      <c r="AP342" s="25"/>
    </row>
    <row r="343" spans="1:42">
      <c r="A343" s="331"/>
      <c r="C343" s="47" t="s">
        <v>773</v>
      </c>
      <c r="D343" s="314"/>
      <c r="E343" s="357">
        <f t="shared" si="560"/>
        <v>0</v>
      </c>
      <c r="F343" s="368">
        <f t="shared" si="561"/>
        <v>0</v>
      </c>
      <c r="G343" s="508">
        <v>950</v>
      </c>
      <c r="H343" s="533">
        <v>0</v>
      </c>
      <c r="I343" s="359">
        <v>0</v>
      </c>
      <c r="J343" s="359">
        <v>0</v>
      </c>
      <c r="K343" s="359">
        <v>0</v>
      </c>
      <c r="L343" s="359">
        <v>0</v>
      </c>
      <c r="M343" s="360">
        <v>0</v>
      </c>
      <c r="N343" s="357">
        <f t="shared" si="562"/>
        <v>950</v>
      </c>
      <c r="O343" s="543">
        <f t="shared" si="563"/>
        <v>1</v>
      </c>
      <c r="P343" s="537">
        <f t="shared" si="564"/>
        <v>950</v>
      </c>
      <c r="Q343" s="359">
        <v>0</v>
      </c>
      <c r="R343" s="359">
        <v>0</v>
      </c>
      <c r="S343" s="359">
        <v>1</v>
      </c>
      <c r="T343" s="359">
        <v>0</v>
      </c>
      <c r="U343" s="359">
        <v>0</v>
      </c>
      <c r="V343" s="359">
        <v>0</v>
      </c>
      <c r="W343" s="359">
        <v>0</v>
      </c>
      <c r="X343" s="359">
        <v>0</v>
      </c>
      <c r="Y343" s="359">
        <v>0</v>
      </c>
      <c r="Z343" s="359">
        <v>0</v>
      </c>
      <c r="AA343" s="359">
        <v>0</v>
      </c>
      <c r="AB343" s="360">
        <v>0</v>
      </c>
      <c r="AC343" s="595"/>
      <c r="AD343" s="595" t="str">
        <f t="shared" si="559"/>
        <v>True</v>
      </c>
      <c r="AE343" s="25"/>
      <c r="AF343" s="25"/>
      <c r="AG343" s="25"/>
      <c r="AH343" s="25"/>
      <c r="AI343" s="25"/>
      <c r="AJ343" s="25"/>
      <c r="AK343" s="25"/>
      <c r="AL343" s="25"/>
      <c r="AM343" s="25"/>
      <c r="AN343" s="25"/>
      <c r="AO343" s="25"/>
      <c r="AP343" s="25"/>
    </row>
    <row r="344" spans="1:42">
      <c r="A344" s="331"/>
      <c r="C344" s="47" t="s">
        <v>776</v>
      </c>
      <c r="D344" s="314"/>
      <c r="E344" s="357">
        <f t="shared" si="560"/>
        <v>5000</v>
      </c>
      <c r="F344" s="368">
        <f t="shared" si="561"/>
        <v>25</v>
      </c>
      <c r="G344" s="508">
        <v>200</v>
      </c>
      <c r="H344" s="533">
        <v>0</v>
      </c>
      <c r="I344" s="359">
        <v>0</v>
      </c>
      <c r="J344" s="359">
        <v>0</v>
      </c>
      <c r="K344" s="359">
        <v>0</v>
      </c>
      <c r="L344" s="359">
        <v>25</v>
      </c>
      <c r="M344" s="360">
        <v>0</v>
      </c>
      <c r="N344" s="357">
        <f t="shared" si="562"/>
        <v>200</v>
      </c>
      <c r="O344" s="543">
        <f t="shared" si="563"/>
        <v>1</v>
      </c>
      <c r="P344" s="537">
        <f t="shared" si="564"/>
        <v>200</v>
      </c>
      <c r="Q344" s="359">
        <v>0</v>
      </c>
      <c r="R344" s="359">
        <v>0</v>
      </c>
      <c r="S344" s="359">
        <v>1</v>
      </c>
      <c r="T344" s="359">
        <v>0</v>
      </c>
      <c r="U344" s="359">
        <v>0</v>
      </c>
      <c r="V344" s="359">
        <v>0</v>
      </c>
      <c r="W344" s="359">
        <v>0</v>
      </c>
      <c r="X344" s="359">
        <v>0</v>
      </c>
      <c r="Y344" s="359">
        <v>0</v>
      </c>
      <c r="Z344" s="359">
        <v>0</v>
      </c>
      <c r="AA344" s="359">
        <v>0</v>
      </c>
      <c r="AB344" s="360">
        <v>0</v>
      </c>
      <c r="AC344" s="595">
        <f>'App 10_5Yr Op Exp'!$E$20*'App 6_Yr 1 Capex'!$E$29/'App 6_Yr 1 Capex'!$E$30</f>
        <v>22.5</v>
      </c>
      <c r="AD344" s="595" t="str">
        <f t="shared" si="559"/>
        <v>True</v>
      </c>
      <c r="AE344" s="25"/>
      <c r="AF344" s="25"/>
      <c r="AG344" s="25"/>
      <c r="AH344" s="25"/>
      <c r="AI344" s="25"/>
      <c r="AJ344" s="25"/>
      <c r="AK344" s="25"/>
      <c r="AL344" s="25"/>
      <c r="AM344" s="25"/>
      <c r="AN344" s="25"/>
      <c r="AO344" s="25"/>
      <c r="AP344" s="25"/>
    </row>
    <row r="345" spans="1:42">
      <c r="A345" s="331"/>
      <c r="C345" s="47" t="s">
        <v>777</v>
      </c>
      <c r="D345" s="314"/>
      <c r="E345" s="357">
        <f t="shared" si="560"/>
        <v>12000</v>
      </c>
      <c r="F345" s="368">
        <f t="shared" si="561"/>
        <v>12</v>
      </c>
      <c r="G345" s="508">
        <v>1000</v>
      </c>
      <c r="H345" s="533">
        <v>0</v>
      </c>
      <c r="I345" s="359">
        <v>0</v>
      </c>
      <c r="J345" s="359">
        <v>12</v>
      </c>
      <c r="K345" s="359">
        <v>0</v>
      </c>
      <c r="L345" s="359">
        <v>0</v>
      </c>
      <c r="M345" s="360">
        <v>0</v>
      </c>
      <c r="N345" s="357">
        <f t="shared" si="562"/>
        <v>1000</v>
      </c>
      <c r="O345" s="543">
        <f t="shared" si="563"/>
        <v>1</v>
      </c>
      <c r="P345" s="537">
        <f t="shared" si="564"/>
        <v>1000</v>
      </c>
      <c r="Q345" s="359">
        <v>0</v>
      </c>
      <c r="R345" s="359">
        <v>0</v>
      </c>
      <c r="S345" s="359">
        <v>1</v>
      </c>
      <c r="T345" s="359">
        <v>0</v>
      </c>
      <c r="U345" s="359">
        <v>0</v>
      </c>
      <c r="V345" s="359">
        <v>0</v>
      </c>
      <c r="W345" s="359">
        <v>0</v>
      </c>
      <c r="X345" s="359">
        <v>0</v>
      </c>
      <c r="Y345" s="359">
        <v>0</v>
      </c>
      <c r="Z345" s="359">
        <v>0</v>
      </c>
      <c r="AA345" s="359">
        <v>0</v>
      </c>
      <c r="AB345" s="360">
        <v>0</v>
      </c>
      <c r="AC345" s="595">
        <f>'App 10_5Yr Op Exp'!$E$20*'App 6_Yr 1 Capex'!$E$26/'App 6_Yr 1 Capex'!$E$27</f>
        <v>12</v>
      </c>
      <c r="AD345" s="595" t="str">
        <f t="shared" si="559"/>
        <v>True</v>
      </c>
      <c r="AE345" s="25"/>
      <c r="AF345" s="25"/>
      <c r="AG345" s="25"/>
      <c r="AH345" s="25"/>
      <c r="AI345" s="25"/>
      <c r="AJ345" s="25"/>
      <c r="AK345" s="25"/>
      <c r="AL345" s="25"/>
      <c r="AM345" s="25"/>
      <c r="AN345" s="25"/>
      <c r="AO345" s="25"/>
      <c r="AP345" s="25"/>
    </row>
    <row r="346" spans="1:42">
      <c r="A346" s="331"/>
      <c r="C346" s="47" t="s">
        <v>778</v>
      </c>
      <c r="D346" s="314"/>
      <c r="E346" s="357">
        <f t="shared" si="560"/>
        <v>1000</v>
      </c>
      <c r="F346" s="368">
        <f t="shared" si="561"/>
        <v>1</v>
      </c>
      <c r="G346" s="508">
        <v>1000</v>
      </c>
      <c r="H346" s="533">
        <v>0</v>
      </c>
      <c r="I346" s="359">
        <v>0</v>
      </c>
      <c r="J346" s="359">
        <v>0</v>
      </c>
      <c r="K346" s="359">
        <v>0</v>
      </c>
      <c r="L346" s="359">
        <v>0</v>
      </c>
      <c r="M346" s="360">
        <v>1</v>
      </c>
      <c r="N346" s="357">
        <f t="shared" si="562"/>
        <v>1000</v>
      </c>
      <c r="O346" s="543">
        <f t="shared" si="563"/>
        <v>1</v>
      </c>
      <c r="P346" s="537">
        <f t="shared" si="564"/>
        <v>1000</v>
      </c>
      <c r="Q346" s="359">
        <v>0</v>
      </c>
      <c r="R346" s="359">
        <v>0</v>
      </c>
      <c r="S346" s="359">
        <v>1</v>
      </c>
      <c r="T346" s="359">
        <v>0</v>
      </c>
      <c r="U346" s="359">
        <v>0</v>
      </c>
      <c r="V346" s="359">
        <v>0</v>
      </c>
      <c r="W346" s="359">
        <v>0</v>
      </c>
      <c r="X346" s="359">
        <v>0</v>
      </c>
      <c r="Y346" s="359">
        <v>0</v>
      </c>
      <c r="Z346" s="359">
        <v>0</v>
      </c>
      <c r="AA346" s="359">
        <v>0</v>
      </c>
      <c r="AB346" s="360">
        <v>0</v>
      </c>
      <c r="AC346" s="595"/>
      <c r="AD346" s="595" t="str">
        <f t="shared" si="559"/>
        <v>True</v>
      </c>
      <c r="AE346" s="25"/>
      <c r="AF346" s="25"/>
      <c r="AG346" s="25"/>
      <c r="AH346" s="25"/>
      <c r="AI346" s="25"/>
      <c r="AJ346" s="25"/>
      <c r="AK346" s="25"/>
      <c r="AL346" s="25"/>
      <c r="AM346" s="25"/>
      <c r="AN346" s="25"/>
      <c r="AO346" s="25"/>
      <c r="AP346" s="25"/>
    </row>
    <row r="347" spans="1:42">
      <c r="A347" s="331"/>
      <c r="C347" s="47" t="s">
        <v>774</v>
      </c>
      <c r="D347" s="314"/>
      <c r="E347" s="357">
        <f t="shared" si="560"/>
        <v>360</v>
      </c>
      <c r="F347" s="368">
        <f t="shared" si="561"/>
        <v>1</v>
      </c>
      <c r="G347" s="508">
        <v>360</v>
      </c>
      <c r="H347" s="533">
        <v>0</v>
      </c>
      <c r="I347" s="359">
        <v>0</v>
      </c>
      <c r="J347" s="359">
        <v>0</v>
      </c>
      <c r="K347" s="359">
        <v>0</v>
      </c>
      <c r="L347" s="359">
        <v>0</v>
      </c>
      <c r="M347" s="360">
        <v>1</v>
      </c>
      <c r="N347" s="357">
        <f t="shared" si="562"/>
        <v>360</v>
      </c>
      <c r="O347" s="543">
        <f t="shared" si="563"/>
        <v>1</v>
      </c>
      <c r="P347" s="537">
        <f t="shared" si="564"/>
        <v>360</v>
      </c>
      <c r="Q347" s="359">
        <v>0</v>
      </c>
      <c r="R347" s="359">
        <v>0</v>
      </c>
      <c r="S347" s="359">
        <v>1</v>
      </c>
      <c r="T347" s="359">
        <v>0</v>
      </c>
      <c r="U347" s="359">
        <v>0</v>
      </c>
      <c r="V347" s="359">
        <v>0</v>
      </c>
      <c r="W347" s="359">
        <v>0</v>
      </c>
      <c r="X347" s="359">
        <v>0</v>
      </c>
      <c r="Y347" s="359">
        <v>0</v>
      </c>
      <c r="Z347" s="359">
        <v>0</v>
      </c>
      <c r="AA347" s="359">
        <v>0</v>
      </c>
      <c r="AB347" s="360">
        <v>0</v>
      </c>
      <c r="AC347" s="595"/>
      <c r="AD347" s="595" t="str">
        <f t="shared" si="559"/>
        <v>True</v>
      </c>
      <c r="AE347" s="25"/>
      <c r="AF347" s="25"/>
      <c r="AG347" s="25"/>
      <c r="AH347" s="25"/>
      <c r="AI347" s="25"/>
      <c r="AJ347" s="25"/>
      <c r="AK347" s="25"/>
      <c r="AL347" s="25"/>
      <c r="AM347" s="25"/>
      <c r="AN347" s="25"/>
      <c r="AO347" s="25"/>
      <c r="AP347" s="25"/>
    </row>
    <row r="348" spans="1:42">
      <c r="A348" s="331"/>
      <c r="C348" s="47" t="s">
        <v>775</v>
      </c>
      <c r="D348" s="314"/>
      <c r="E348" s="357">
        <f t="shared" si="560"/>
        <v>0</v>
      </c>
      <c r="F348" s="368">
        <f t="shared" si="561"/>
        <v>0</v>
      </c>
      <c r="G348" s="508">
        <v>15</v>
      </c>
      <c r="H348" s="533">
        <v>0</v>
      </c>
      <c r="I348" s="359">
        <v>0</v>
      </c>
      <c r="J348" s="359">
        <v>0</v>
      </c>
      <c r="K348" s="359">
        <v>0</v>
      </c>
      <c r="L348" s="359">
        <v>0</v>
      </c>
      <c r="M348" s="360">
        <v>0</v>
      </c>
      <c r="N348" s="357">
        <f t="shared" si="562"/>
        <v>15</v>
      </c>
      <c r="O348" s="543">
        <f t="shared" si="563"/>
        <v>1</v>
      </c>
      <c r="P348" s="537">
        <f t="shared" si="564"/>
        <v>15</v>
      </c>
      <c r="Q348" s="359">
        <v>0</v>
      </c>
      <c r="R348" s="359">
        <v>0</v>
      </c>
      <c r="S348" s="359">
        <v>1</v>
      </c>
      <c r="T348" s="359">
        <v>0</v>
      </c>
      <c r="U348" s="359">
        <v>0</v>
      </c>
      <c r="V348" s="359">
        <v>0</v>
      </c>
      <c r="W348" s="359">
        <v>0</v>
      </c>
      <c r="X348" s="359">
        <v>0</v>
      </c>
      <c r="Y348" s="359">
        <v>0</v>
      </c>
      <c r="Z348" s="359">
        <v>0</v>
      </c>
      <c r="AA348" s="359">
        <v>0</v>
      </c>
      <c r="AB348" s="360">
        <v>0</v>
      </c>
      <c r="AC348" s="595"/>
      <c r="AD348" s="595" t="str">
        <f t="shared" si="559"/>
        <v>True</v>
      </c>
      <c r="AE348" s="25"/>
      <c r="AF348" s="25"/>
      <c r="AG348" s="25"/>
      <c r="AH348" s="25"/>
      <c r="AI348" s="25"/>
      <c r="AJ348" s="25"/>
      <c r="AK348" s="25"/>
      <c r="AL348" s="25"/>
      <c r="AM348" s="25"/>
      <c r="AN348" s="25"/>
      <c r="AO348" s="25"/>
      <c r="AP348" s="25"/>
    </row>
    <row r="349" spans="1:42">
      <c r="A349" s="331"/>
      <c r="C349" s="47" t="s">
        <v>786</v>
      </c>
      <c r="D349" s="314"/>
      <c r="E349" s="357">
        <f t="shared" si="560"/>
        <v>20000</v>
      </c>
      <c r="F349" s="368">
        <f t="shared" si="561"/>
        <v>1</v>
      </c>
      <c r="G349" s="508">
        <v>20000</v>
      </c>
      <c r="H349" s="533">
        <v>0</v>
      </c>
      <c r="I349" s="359">
        <v>0</v>
      </c>
      <c r="J349" s="359">
        <v>1</v>
      </c>
      <c r="K349" s="359">
        <v>0</v>
      </c>
      <c r="L349" s="359">
        <v>0</v>
      </c>
      <c r="M349" s="360">
        <v>0</v>
      </c>
      <c r="N349" s="357">
        <f t="shared" si="562"/>
        <v>20000</v>
      </c>
      <c r="O349" s="543">
        <f t="shared" si="563"/>
        <v>1</v>
      </c>
      <c r="P349" s="537">
        <f t="shared" si="564"/>
        <v>20000</v>
      </c>
      <c r="Q349" s="359">
        <v>0</v>
      </c>
      <c r="R349" s="359">
        <v>0</v>
      </c>
      <c r="S349" s="359">
        <v>1</v>
      </c>
      <c r="T349" s="359">
        <v>0</v>
      </c>
      <c r="U349" s="359">
        <v>0</v>
      </c>
      <c r="V349" s="359">
        <v>0</v>
      </c>
      <c r="W349" s="359">
        <v>0</v>
      </c>
      <c r="X349" s="359">
        <v>0</v>
      </c>
      <c r="Y349" s="359">
        <v>0</v>
      </c>
      <c r="Z349" s="359">
        <v>0</v>
      </c>
      <c r="AA349" s="359">
        <v>0</v>
      </c>
      <c r="AB349" s="360">
        <v>0</v>
      </c>
      <c r="AC349" s="595"/>
      <c r="AD349" s="595" t="str">
        <f t="shared" si="559"/>
        <v>True</v>
      </c>
      <c r="AE349" s="25"/>
      <c r="AF349" s="25"/>
      <c r="AG349" s="25"/>
      <c r="AH349" s="25"/>
      <c r="AI349" s="25"/>
      <c r="AJ349" s="25"/>
      <c r="AK349" s="25"/>
      <c r="AL349" s="25"/>
      <c r="AM349" s="25"/>
      <c r="AN349" s="25"/>
      <c r="AO349" s="25"/>
      <c r="AP349" s="25"/>
    </row>
    <row r="350" spans="1:42">
      <c r="A350" s="331"/>
      <c r="C350" s="47" t="s">
        <v>792</v>
      </c>
      <c r="D350" s="314"/>
      <c r="E350" s="357">
        <f t="shared" si="560"/>
        <v>10000</v>
      </c>
      <c r="F350" s="368">
        <f t="shared" si="561"/>
        <v>1</v>
      </c>
      <c r="G350" s="508">
        <v>10000</v>
      </c>
      <c r="H350" s="533">
        <v>0</v>
      </c>
      <c r="I350" s="359">
        <v>0</v>
      </c>
      <c r="J350" s="359">
        <v>0</v>
      </c>
      <c r="K350" s="359">
        <v>0</v>
      </c>
      <c r="L350" s="359">
        <v>1</v>
      </c>
      <c r="M350" s="360">
        <v>0</v>
      </c>
      <c r="N350" s="357">
        <f t="shared" si="562"/>
        <v>10000</v>
      </c>
      <c r="O350" s="543">
        <f t="shared" si="563"/>
        <v>1</v>
      </c>
      <c r="P350" s="537">
        <f t="shared" si="564"/>
        <v>10000</v>
      </c>
      <c r="Q350" s="359">
        <v>0</v>
      </c>
      <c r="R350" s="359">
        <v>0</v>
      </c>
      <c r="S350" s="359">
        <v>1</v>
      </c>
      <c r="T350" s="359">
        <v>0</v>
      </c>
      <c r="U350" s="359">
        <v>0</v>
      </c>
      <c r="V350" s="359">
        <v>0</v>
      </c>
      <c r="W350" s="359">
        <v>0</v>
      </c>
      <c r="X350" s="359">
        <v>0</v>
      </c>
      <c r="Y350" s="359">
        <v>0</v>
      </c>
      <c r="Z350" s="359">
        <v>0</v>
      </c>
      <c r="AA350" s="359">
        <v>0</v>
      </c>
      <c r="AB350" s="360">
        <v>0</v>
      </c>
      <c r="AC350" s="595"/>
      <c r="AD350" s="595" t="str">
        <f t="shared" si="559"/>
        <v>True</v>
      </c>
      <c r="AE350" s="25"/>
      <c r="AF350" s="25"/>
      <c r="AG350" s="25"/>
      <c r="AH350" s="25"/>
      <c r="AI350" s="25"/>
      <c r="AJ350" s="25"/>
      <c r="AK350" s="25"/>
      <c r="AL350" s="25"/>
      <c r="AM350" s="25"/>
      <c r="AN350" s="25"/>
      <c r="AO350" s="25"/>
      <c r="AP350" s="25"/>
    </row>
    <row r="351" spans="1:42" s="25" customFormat="1">
      <c r="A351" s="331"/>
      <c r="B351" s="453"/>
      <c r="C351" s="47"/>
      <c r="D351" s="314"/>
      <c r="E351" s="357"/>
      <c r="F351" s="51"/>
      <c r="G351" s="507"/>
      <c r="H351" s="51"/>
      <c r="I351" s="51"/>
      <c r="J351" s="51"/>
      <c r="K351" s="51"/>
      <c r="L351" s="51"/>
      <c r="M351" s="368"/>
      <c r="N351" s="339"/>
      <c r="O351" s="521"/>
      <c r="P351" s="339"/>
      <c r="Q351" s="48"/>
      <c r="R351" s="48"/>
      <c r="S351" s="48"/>
      <c r="T351" s="48"/>
      <c r="U351" s="48"/>
      <c r="V351" s="48"/>
      <c r="W351" s="48"/>
      <c r="X351" s="48"/>
      <c r="Y351" s="48"/>
      <c r="Z351" s="48"/>
      <c r="AA351" s="48"/>
      <c r="AB351" s="372"/>
      <c r="AC351" s="595"/>
      <c r="AD351" s="595"/>
    </row>
    <row r="352" spans="1:42" s="25" customFormat="1">
      <c r="A352" s="331"/>
      <c r="B352" s="453"/>
      <c r="C352" s="499" t="s">
        <v>234</v>
      </c>
      <c r="D352" s="343"/>
      <c r="E352" s="362">
        <f>SUM(E337:E351)</f>
        <v>60961</v>
      </c>
      <c r="F352" s="503"/>
      <c r="G352" s="525"/>
      <c r="H352" s="503"/>
      <c r="I352" s="503"/>
      <c r="J352" s="503"/>
      <c r="K352" s="503"/>
      <c r="L352" s="503"/>
      <c r="M352" s="504"/>
      <c r="N352" s="361"/>
      <c r="O352" s="538"/>
      <c r="P352" s="361"/>
      <c r="Q352" s="524"/>
      <c r="R352" s="524"/>
      <c r="S352" s="524"/>
      <c r="T352" s="524"/>
      <c r="U352" s="524"/>
      <c r="V352" s="524"/>
      <c r="W352" s="524"/>
      <c r="X352" s="524"/>
      <c r="Y352" s="524"/>
      <c r="Z352" s="524"/>
      <c r="AA352" s="524"/>
      <c r="AB352" s="529"/>
      <c r="AC352" s="595"/>
      <c r="AD352" s="595"/>
    </row>
    <row r="353" spans="1:42" s="61" customFormat="1">
      <c r="A353" s="511"/>
      <c r="B353" s="641"/>
      <c r="D353" s="518"/>
      <c r="E353" s="551"/>
      <c r="F353" s="34"/>
      <c r="G353" s="553"/>
      <c r="H353" s="34"/>
      <c r="I353" s="34"/>
      <c r="J353" s="34"/>
      <c r="K353" s="34"/>
      <c r="L353" s="34"/>
      <c r="M353" s="34"/>
      <c r="O353" s="554"/>
      <c r="AC353" s="598"/>
      <c r="AD353" s="598"/>
    </row>
    <row r="354" spans="1:42" s="25" customFormat="1" ht="15">
      <c r="A354" s="331"/>
      <c r="B354" s="453"/>
      <c r="C354" s="497" t="s">
        <v>373</v>
      </c>
      <c r="D354" s="314"/>
      <c r="E354" s="357"/>
      <c r="F354" s="51"/>
      <c r="G354" s="507"/>
      <c r="H354" s="51"/>
      <c r="I354" s="51"/>
      <c r="J354" s="51"/>
      <c r="K354" s="51"/>
      <c r="L354" s="51"/>
      <c r="M354" s="368"/>
      <c r="N354" s="523"/>
      <c r="O354" s="350"/>
      <c r="P354" s="536"/>
      <c r="Q354" s="352"/>
      <c r="R354" s="352"/>
      <c r="S354" s="348"/>
      <c r="T354" s="48"/>
      <c r="U354" s="48"/>
      <c r="V354" s="48"/>
      <c r="W354" s="48"/>
      <c r="X354" s="48"/>
      <c r="Y354" s="48"/>
      <c r="Z354" s="48"/>
      <c r="AA354" s="48"/>
      <c r="AB354" s="372"/>
      <c r="AC354" s="595"/>
      <c r="AD354" s="595"/>
    </row>
    <row r="355" spans="1:42">
      <c r="A355" s="331"/>
      <c r="C355" s="47" t="s">
        <v>782</v>
      </c>
      <c r="D355" s="314"/>
      <c r="E355" s="357">
        <f t="shared" ref="E355" ca="1" si="565">F355*G355</f>
        <v>1200</v>
      </c>
      <c r="F355" s="368">
        <f t="shared" ref="F355" ca="1" si="566">SUM(H355:M355)</f>
        <v>12</v>
      </c>
      <c r="G355" s="508">
        <v>100</v>
      </c>
      <c r="H355" s="533">
        <v>0</v>
      </c>
      <c r="I355" s="359">
        <v>0</v>
      </c>
      <c r="J355" s="359">
        <f ca="1">SUMIF('List of equipment'!$D$130:$D$148,'List of equipment'!D167,'List of equipment'!$F$130:$F$147)</f>
        <v>0</v>
      </c>
      <c r="K355" s="359">
        <v>0</v>
      </c>
      <c r="L355" s="359">
        <v>0</v>
      </c>
      <c r="M355" s="360">
        <f>AC355</f>
        <v>12</v>
      </c>
      <c r="N355" s="357">
        <f t="shared" ref="N355" si="567">O355*P355</f>
        <v>100</v>
      </c>
      <c r="O355" s="543">
        <f t="shared" ref="O355" si="568">SUM(Q355:AB355)</f>
        <v>1</v>
      </c>
      <c r="P355" s="537">
        <f>G355</f>
        <v>100</v>
      </c>
      <c r="Q355" s="359">
        <v>0</v>
      </c>
      <c r="R355" s="359">
        <v>0</v>
      </c>
      <c r="S355" s="359">
        <v>1</v>
      </c>
      <c r="T355" s="359">
        <v>0</v>
      </c>
      <c r="U355" s="359">
        <v>0</v>
      </c>
      <c r="V355" s="359">
        <v>0</v>
      </c>
      <c r="W355" s="359">
        <v>0</v>
      </c>
      <c r="X355" s="359">
        <v>0</v>
      </c>
      <c r="Y355" s="359">
        <v>0</v>
      </c>
      <c r="Z355" s="359">
        <v>0</v>
      </c>
      <c r="AA355" s="359">
        <v>0</v>
      </c>
      <c r="AB355" s="360">
        <v>0</v>
      </c>
      <c r="AC355" s="595">
        <f>'App 9_Yr1 Headcount'!V265</f>
        <v>12</v>
      </c>
      <c r="AD355" s="595" t="str">
        <f t="shared" ref="AD355:AD362" ca="1" si="569">IF(SUM(F355,O355)-AC355&gt;=0,"True","False")</f>
        <v>True</v>
      </c>
      <c r="AE355" s="25"/>
      <c r="AF355" s="25"/>
      <c r="AG355" s="25"/>
      <c r="AH355" s="25"/>
      <c r="AI355" s="25"/>
      <c r="AJ355" s="25"/>
      <c r="AK355" s="25"/>
      <c r="AL355" s="25"/>
      <c r="AM355" s="25"/>
      <c r="AN355" s="25"/>
      <c r="AO355" s="25"/>
      <c r="AP355" s="25"/>
    </row>
    <row r="356" spans="1:42">
      <c r="A356" s="331"/>
      <c r="C356" s="47" t="s">
        <v>781</v>
      </c>
      <c r="D356" s="314"/>
      <c r="E356" s="357">
        <f t="shared" ref="E356:E362" ca="1" si="570">F356*G356</f>
        <v>1000</v>
      </c>
      <c r="F356" s="368">
        <f t="shared" ref="F356:F362" ca="1" si="571">SUM(H356:M356)</f>
        <v>100</v>
      </c>
      <c r="G356" s="508">
        <v>10</v>
      </c>
      <c r="H356" s="533">
        <v>0</v>
      </c>
      <c r="I356" s="359">
        <v>0</v>
      </c>
      <c r="J356" s="359">
        <f ca="1">SUMIF('List of equipment'!$D$130:$D$148,'List of equipment'!D168,'List of equipment'!$F$130:$F$147)</f>
        <v>0</v>
      </c>
      <c r="K356" s="359">
        <v>0</v>
      </c>
      <c r="L356" s="359">
        <v>0</v>
      </c>
      <c r="M356" s="360">
        <v>100</v>
      </c>
      <c r="N356" s="357">
        <f t="shared" ref="N356:N362" si="572">O356*P356</f>
        <v>10</v>
      </c>
      <c r="O356" s="543">
        <f t="shared" ref="O356:O362" si="573">SUM(Q356:AB356)</f>
        <v>1</v>
      </c>
      <c r="P356" s="537">
        <f t="shared" ref="P356:P362" si="574">G356</f>
        <v>10</v>
      </c>
      <c r="Q356" s="359">
        <v>0</v>
      </c>
      <c r="R356" s="359">
        <v>0</v>
      </c>
      <c r="S356" s="359">
        <v>1</v>
      </c>
      <c r="T356" s="359">
        <v>0</v>
      </c>
      <c r="U356" s="359">
        <v>0</v>
      </c>
      <c r="V356" s="359">
        <v>0</v>
      </c>
      <c r="W356" s="359">
        <v>0</v>
      </c>
      <c r="X356" s="359">
        <v>0</v>
      </c>
      <c r="Y356" s="359">
        <v>0</v>
      </c>
      <c r="Z356" s="359">
        <v>0</v>
      </c>
      <c r="AA356" s="359">
        <v>0</v>
      </c>
      <c r="AB356" s="360">
        <v>0</v>
      </c>
      <c r="AC356" s="595"/>
      <c r="AD356" s="595" t="str">
        <f t="shared" ca="1" si="569"/>
        <v>True</v>
      </c>
      <c r="AE356" s="25"/>
      <c r="AF356" s="25"/>
      <c r="AG356" s="25"/>
      <c r="AH356" s="25"/>
      <c r="AI356" s="25"/>
      <c r="AJ356" s="25"/>
      <c r="AK356" s="25"/>
      <c r="AL356" s="25"/>
      <c r="AM356" s="25"/>
      <c r="AN356" s="25"/>
      <c r="AO356" s="25"/>
      <c r="AP356" s="25"/>
    </row>
    <row r="357" spans="1:42">
      <c r="A357" s="331"/>
      <c r="C357" s="47" t="s">
        <v>783</v>
      </c>
      <c r="D357" s="314"/>
      <c r="E357" s="357">
        <f t="shared" ca="1" si="570"/>
        <v>1500</v>
      </c>
      <c r="F357" s="368">
        <f t="shared" ca="1" si="571"/>
        <v>30</v>
      </c>
      <c r="G357" s="508">
        <v>50</v>
      </c>
      <c r="H357" s="533">
        <v>0</v>
      </c>
      <c r="I357" s="359">
        <v>0</v>
      </c>
      <c r="J357" s="359">
        <f ca="1">SUMIF('List of equipment'!$D$130:$D$148,'List of equipment'!D169,'List of equipment'!$F$130:$F$147)</f>
        <v>0</v>
      </c>
      <c r="K357" s="359">
        <v>0</v>
      </c>
      <c r="L357" s="359">
        <v>0</v>
      </c>
      <c r="M357" s="360">
        <v>30</v>
      </c>
      <c r="N357" s="357">
        <f t="shared" si="572"/>
        <v>50</v>
      </c>
      <c r="O357" s="543">
        <f t="shared" si="573"/>
        <v>1</v>
      </c>
      <c r="P357" s="537">
        <f t="shared" si="574"/>
        <v>50</v>
      </c>
      <c r="Q357" s="359">
        <v>0</v>
      </c>
      <c r="R357" s="359">
        <v>0</v>
      </c>
      <c r="S357" s="359">
        <v>1</v>
      </c>
      <c r="T357" s="359">
        <v>0</v>
      </c>
      <c r="U357" s="359">
        <v>0</v>
      </c>
      <c r="V357" s="359">
        <v>0</v>
      </c>
      <c r="W357" s="359">
        <v>0</v>
      </c>
      <c r="X357" s="359">
        <v>0</v>
      </c>
      <c r="Y357" s="359">
        <v>0</v>
      </c>
      <c r="Z357" s="359">
        <v>0</v>
      </c>
      <c r="AA357" s="359">
        <v>0</v>
      </c>
      <c r="AB357" s="360">
        <v>0</v>
      </c>
      <c r="AC357" s="595">
        <f>SUM('App 9_Yr1 Headcount'!F171:F173,'App 9_Yr1 Headcount'!F178:F183,'App 9_Yr1 Headcount'!F241:F243,'App 9_Yr1 Headcount'!F245:F246,'App 9_Yr1 Headcount'!F249:F250,'App 9_Yr1 Headcount'!F253)</f>
        <v>24</v>
      </c>
      <c r="AD357" s="595" t="str">
        <f t="shared" ca="1" si="569"/>
        <v>True</v>
      </c>
      <c r="AE357" s="25"/>
      <c r="AF357" s="25"/>
      <c r="AG357" s="25"/>
      <c r="AH357" s="25"/>
      <c r="AI357" s="25"/>
      <c r="AJ357" s="25"/>
      <c r="AK357" s="25"/>
      <c r="AL357" s="25"/>
      <c r="AM357" s="25"/>
      <c r="AN357" s="25"/>
      <c r="AO357" s="25"/>
      <c r="AP357" s="25"/>
    </row>
    <row r="358" spans="1:42">
      <c r="A358" s="331"/>
      <c r="C358" s="47" t="s">
        <v>1596</v>
      </c>
      <c r="D358" s="314"/>
      <c r="E358" s="357">
        <f t="shared" ca="1" si="570"/>
        <v>140</v>
      </c>
      <c r="F358" s="368">
        <f t="shared" ca="1" si="571"/>
        <v>2</v>
      </c>
      <c r="G358" s="508">
        <v>70</v>
      </c>
      <c r="H358" s="533">
        <v>0</v>
      </c>
      <c r="I358" s="359">
        <v>0</v>
      </c>
      <c r="J358" s="359">
        <f ca="1">SUMIF('List of equipment'!$D$130:$D$148,'List of equipment'!D171,'List of equipment'!$F$130:$F$147)</f>
        <v>0</v>
      </c>
      <c r="K358" s="359">
        <v>0</v>
      </c>
      <c r="L358" s="359">
        <v>0</v>
      </c>
      <c r="M358" s="360">
        <v>2</v>
      </c>
      <c r="N358" s="357">
        <f t="shared" si="572"/>
        <v>70</v>
      </c>
      <c r="O358" s="543">
        <f t="shared" si="573"/>
        <v>1</v>
      </c>
      <c r="P358" s="537">
        <f t="shared" si="574"/>
        <v>70</v>
      </c>
      <c r="Q358" s="359">
        <v>0</v>
      </c>
      <c r="R358" s="359">
        <v>0</v>
      </c>
      <c r="S358" s="359">
        <v>1</v>
      </c>
      <c r="T358" s="359">
        <v>0</v>
      </c>
      <c r="U358" s="359">
        <v>0</v>
      </c>
      <c r="V358" s="359">
        <v>0</v>
      </c>
      <c r="W358" s="359">
        <v>0</v>
      </c>
      <c r="X358" s="359">
        <v>0</v>
      </c>
      <c r="Y358" s="359">
        <v>0</v>
      </c>
      <c r="Z358" s="359">
        <v>0</v>
      </c>
      <c r="AA358" s="359">
        <v>0</v>
      </c>
      <c r="AB358" s="360">
        <v>0</v>
      </c>
      <c r="AC358" s="599">
        <f>SUMIF('List of equipment'!$O:$O,'List of equipment'!$O$31,'List of equipment'!$Q:$Q)*0.1</f>
        <v>1.7000000000000002</v>
      </c>
      <c r="AD358" s="595" t="str">
        <f t="shared" ca="1" si="569"/>
        <v>True</v>
      </c>
      <c r="AE358" s="25"/>
      <c r="AF358" s="25"/>
      <c r="AG358" s="25"/>
      <c r="AH358" s="25"/>
      <c r="AI358" s="25"/>
      <c r="AJ358" s="25"/>
      <c r="AK358" s="25"/>
      <c r="AL358" s="25"/>
      <c r="AM358" s="25"/>
      <c r="AN358" s="25"/>
      <c r="AO358" s="25"/>
      <c r="AP358" s="25"/>
    </row>
    <row r="359" spans="1:42">
      <c r="A359" s="331"/>
      <c r="C359" s="47" t="s">
        <v>779</v>
      </c>
      <c r="D359" s="314"/>
      <c r="E359" s="357">
        <f t="shared" ca="1" si="570"/>
        <v>0</v>
      </c>
      <c r="F359" s="368">
        <f t="shared" ca="1" si="571"/>
        <v>0</v>
      </c>
      <c r="G359" s="508">
        <v>1500</v>
      </c>
      <c r="H359" s="533">
        <v>0</v>
      </c>
      <c r="I359" s="359">
        <v>0</v>
      </c>
      <c r="J359" s="359">
        <f ca="1">SUMIF('List of equipment'!$D$130:$D$148,'List of equipment'!D172,'List of equipment'!$F$130:$F$147)</f>
        <v>0</v>
      </c>
      <c r="K359" s="359">
        <v>0</v>
      </c>
      <c r="L359" s="359">
        <v>0</v>
      </c>
      <c r="M359" s="360">
        <v>0</v>
      </c>
      <c r="N359" s="357">
        <f t="shared" si="572"/>
        <v>4500</v>
      </c>
      <c r="O359" s="543">
        <f t="shared" si="573"/>
        <v>3</v>
      </c>
      <c r="P359" s="537">
        <f t="shared" si="574"/>
        <v>1500</v>
      </c>
      <c r="Q359" s="359">
        <v>3</v>
      </c>
      <c r="R359" s="359">
        <v>0</v>
      </c>
      <c r="S359" s="359">
        <v>0</v>
      </c>
      <c r="T359" s="359">
        <v>0</v>
      </c>
      <c r="U359" s="359">
        <v>0</v>
      </c>
      <c r="V359" s="359">
        <v>0</v>
      </c>
      <c r="W359" s="359">
        <v>0</v>
      </c>
      <c r="X359" s="359">
        <v>0</v>
      </c>
      <c r="Y359" s="359">
        <v>0</v>
      </c>
      <c r="Z359" s="359">
        <v>0</v>
      </c>
      <c r="AA359" s="359">
        <v>0</v>
      </c>
      <c r="AB359" s="360">
        <v>0</v>
      </c>
      <c r="AC359" s="599">
        <f>SUMIF('List of equipment'!$O:$O,'List of equipment'!$O$319,'List of equipment'!$Q:$Q)</f>
        <v>3</v>
      </c>
      <c r="AD359" s="595" t="str">
        <f t="shared" ca="1" si="569"/>
        <v>True</v>
      </c>
      <c r="AE359" s="25"/>
      <c r="AF359" s="25"/>
      <c r="AG359" s="25"/>
      <c r="AH359" s="25"/>
      <c r="AI359" s="25"/>
      <c r="AJ359" s="25"/>
      <c r="AK359" s="25"/>
      <c r="AL359" s="25"/>
      <c r="AM359" s="25"/>
      <c r="AN359" s="25"/>
      <c r="AO359" s="25"/>
      <c r="AP359" s="25"/>
    </row>
    <row r="360" spans="1:42">
      <c r="A360" s="331"/>
      <c r="C360" s="47" t="s">
        <v>785</v>
      </c>
      <c r="D360" s="314"/>
      <c r="E360" s="357">
        <f t="shared" ca="1" si="570"/>
        <v>5000</v>
      </c>
      <c r="F360" s="368">
        <f t="shared" ca="1" si="571"/>
        <v>10</v>
      </c>
      <c r="G360" s="508">
        <v>500</v>
      </c>
      <c r="H360" s="533">
        <v>0</v>
      </c>
      <c r="I360" s="359">
        <v>0</v>
      </c>
      <c r="J360" s="359">
        <f ca="1">SUMIF('List of equipment'!$D$130:$D$148,'List of equipment'!D173,'List of equipment'!$F$130:$F$147)</f>
        <v>0</v>
      </c>
      <c r="K360" s="359">
        <v>0</v>
      </c>
      <c r="L360" s="359">
        <v>10</v>
      </c>
      <c r="M360" s="360">
        <v>0</v>
      </c>
      <c r="N360" s="357">
        <f t="shared" si="572"/>
        <v>5500</v>
      </c>
      <c r="O360" s="543">
        <f t="shared" si="573"/>
        <v>11</v>
      </c>
      <c r="P360" s="537">
        <f t="shared" si="574"/>
        <v>500</v>
      </c>
      <c r="Q360" s="359">
        <v>0</v>
      </c>
      <c r="R360" s="359">
        <v>0</v>
      </c>
      <c r="S360" s="359">
        <v>1</v>
      </c>
      <c r="T360" s="359">
        <v>0</v>
      </c>
      <c r="U360" s="359">
        <v>0</v>
      </c>
      <c r="V360" s="359">
        <v>10</v>
      </c>
      <c r="W360" s="359">
        <v>0</v>
      </c>
      <c r="X360" s="359">
        <v>0</v>
      </c>
      <c r="Y360" s="359">
        <v>0</v>
      </c>
      <c r="Z360" s="359">
        <v>0</v>
      </c>
      <c r="AA360" s="359">
        <v>0</v>
      </c>
      <c r="AB360" s="360">
        <v>0</v>
      </c>
      <c r="AC360" s="595">
        <f>'App 10_5Yr Op Exp'!$E$20/$E$28</f>
        <v>30</v>
      </c>
      <c r="AD360" s="595" t="str">
        <f t="shared" ca="1" si="569"/>
        <v>False</v>
      </c>
      <c r="AE360" s="25"/>
      <c r="AF360" s="25"/>
      <c r="AG360" s="25"/>
      <c r="AH360" s="25"/>
      <c r="AI360" s="25"/>
      <c r="AJ360" s="25"/>
      <c r="AK360" s="25"/>
      <c r="AL360" s="25"/>
      <c r="AM360" s="25"/>
      <c r="AN360" s="25"/>
      <c r="AO360" s="25"/>
      <c r="AP360" s="25"/>
    </row>
    <row r="361" spans="1:42">
      <c r="A361" s="331"/>
      <c r="C361" s="47" t="s">
        <v>780</v>
      </c>
      <c r="D361" s="314"/>
      <c r="E361" s="357">
        <f t="shared" ca="1" si="570"/>
        <v>3000</v>
      </c>
      <c r="F361" s="368">
        <f t="shared" ca="1" si="571"/>
        <v>20</v>
      </c>
      <c r="G361" s="508">
        <v>150</v>
      </c>
      <c r="H361" s="533">
        <v>0</v>
      </c>
      <c r="I361" s="359">
        <v>0</v>
      </c>
      <c r="J361" s="359">
        <f ca="1">SUMIF('List of equipment'!$D$130:$D$148,'List of equipment'!D174,'List of equipment'!$F$130:$F$147)</f>
        <v>0</v>
      </c>
      <c r="K361" s="359">
        <v>0</v>
      </c>
      <c r="L361" s="359">
        <v>20</v>
      </c>
      <c r="M361" s="360">
        <v>0</v>
      </c>
      <c r="N361" s="357">
        <f t="shared" si="572"/>
        <v>150</v>
      </c>
      <c r="O361" s="543">
        <f t="shared" si="573"/>
        <v>1</v>
      </c>
      <c r="P361" s="537">
        <f t="shared" si="574"/>
        <v>150</v>
      </c>
      <c r="Q361" s="359">
        <v>0</v>
      </c>
      <c r="R361" s="359">
        <v>0</v>
      </c>
      <c r="S361" s="359">
        <v>1</v>
      </c>
      <c r="T361" s="359">
        <v>0</v>
      </c>
      <c r="U361" s="359">
        <v>0</v>
      </c>
      <c r="V361" s="359">
        <v>0</v>
      </c>
      <c r="W361" s="359">
        <v>0</v>
      </c>
      <c r="X361" s="359">
        <v>0</v>
      </c>
      <c r="Y361" s="359">
        <v>0</v>
      </c>
      <c r="Z361" s="359">
        <v>0</v>
      </c>
      <c r="AA361" s="359">
        <v>0</v>
      </c>
      <c r="AB361" s="360">
        <v>0</v>
      </c>
      <c r="AC361" s="599">
        <f>SUMIF('List of equipment'!$O:$O,'List of equipment'!$O$31,'List of equipment'!$Q:$Q)</f>
        <v>17</v>
      </c>
      <c r="AD361" s="595" t="str">
        <f t="shared" ca="1" si="569"/>
        <v>True</v>
      </c>
      <c r="AE361" s="25"/>
      <c r="AF361" s="25"/>
      <c r="AG361" s="25"/>
      <c r="AH361" s="25"/>
      <c r="AI361" s="25"/>
      <c r="AJ361" s="25"/>
      <c r="AK361" s="25"/>
      <c r="AL361" s="25"/>
      <c r="AM361" s="25"/>
      <c r="AN361" s="25"/>
      <c r="AO361" s="25"/>
      <c r="AP361" s="25"/>
    </row>
    <row r="362" spans="1:42">
      <c r="A362" s="331"/>
      <c r="C362" s="47" t="s">
        <v>787</v>
      </c>
      <c r="D362" s="314"/>
      <c r="E362" s="357">
        <f t="shared" ca="1" si="570"/>
        <v>500</v>
      </c>
      <c r="F362" s="368">
        <f t="shared" ca="1" si="571"/>
        <v>5</v>
      </c>
      <c r="G362" s="508">
        <v>100</v>
      </c>
      <c r="H362" s="533">
        <v>0</v>
      </c>
      <c r="I362" s="359">
        <v>0</v>
      </c>
      <c r="J362" s="359">
        <f ca="1">SUMIF('List of equipment'!$D$130:$D$148,'List of equipment'!D178,'List of equipment'!$F$130:$F$147)</f>
        <v>0</v>
      </c>
      <c r="K362" s="359">
        <v>0</v>
      </c>
      <c r="L362" s="359">
        <v>0</v>
      </c>
      <c r="M362" s="360">
        <v>5</v>
      </c>
      <c r="N362" s="357">
        <f t="shared" si="572"/>
        <v>100</v>
      </c>
      <c r="O362" s="543">
        <f t="shared" si="573"/>
        <v>1</v>
      </c>
      <c r="P362" s="537">
        <f t="shared" si="574"/>
        <v>100</v>
      </c>
      <c r="Q362" s="359">
        <v>0</v>
      </c>
      <c r="R362" s="359">
        <v>0</v>
      </c>
      <c r="S362" s="359">
        <v>1</v>
      </c>
      <c r="T362" s="359">
        <v>0</v>
      </c>
      <c r="U362" s="359">
        <v>0</v>
      </c>
      <c r="V362" s="359">
        <v>0</v>
      </c>
      <c r="W362" s="359">
        <v>0</v>
      </c>
      <c r="X362" s="359">
        <v>0</v>
      </c>
      <c r="Y362" s="359">
        <v>0</v>
      </c>
      <c r="Z362" s="359">
        <v>0</v>
      </c>
      <c r="AA362" s="359">
        <v>0</v>
      </c>
      <c r="AB362" s="360">
        <v>0</v>
      </c>
      <c r="AC362" s="599">
        <f>SUMIF('List of equipment'!$O:$O,'List of equipment'!O510,'List of equipment'!$Q:$Q)*0.1</f>
        <v>4.4000000000000004</v>
      </c>
      <c r="AD362" s="595" t="str">
        <f t="shared" ca="1" si="569"/>
        <v>True</v>
      </c>
      <c r="AE362" s="25"/>
      <c r="AF362" s="25"/>
      <c r="AG362" s="25"/>
      <c r="AH362" s="25"/>
      <c r="AI362" s="25"/>
      <c r="AJ362" s="25"/>
      <c r="AK362" s="25"/>
      <c r="AL362" s="25"/>
      <c r="AM362" s="25"/>
      <c r="AN362" s="25"/>
      <c r="AO362" s="25"/>
      <c r="AP362" s="25"/>
    </row>
    <row r="363" spans="1:42" s="25" customFormat="1">
      <c r="A363" s="331"/>
      <c r="B363" s="453"/>
      <c r="C363" s="47"/>
      <c r="D363" s="314"/>
      <c r="E363" s="357"/>
      <c r="F363" s="51"/>
      <c r="G363" s="507"/>
      <c r="H363" s="51"/>
      <c r="I363" s="51"/>
      <c r="J363" s="51"/>
      <c r="K363" s="51"/>
      <c r="L363" s="51"/>
      <c r="M363" s="368"/>
      <c r="N363" s="339"/>
      <c r="O363" s="521"/>
      <c r="P363" s="339"/>
      <c r="Q363" s="48"/>
      <c r="R363" s="48"/>
      <c r="S363" s="48"/>
      <c r="T363" s="48"/>
      <c r="U363" s="48"/>
      <c r="V363" s="48"/>
      <c r="W363" s="48"/>
      <c r="X363" s="48"/>
      <c r="Y363" s="48"/>
      <c r="Z363" s="48"/>
      <c r="AA363" s="48"/>
      <c r="AB363" s="372"/>
      <c r="AC363" s="595"/>
      <c r="AD363" s="595"/>
    </row>
    <row r="364" spans="1:42" s="25" customFormat="1">
      <c r="A364" s="331"/>
      <c r="B364" s="453"/>
      <c r="C364" s="499" t="s">
        <v>234</v>
      </c>
      <c r="D364" s="343"/>
      <c r="E364" s="370">
        <f ca="1">SUM(E356:E363)</f>
        <v>11140</v>
      </c>
      <c r="F364" s="503"/>
      <c r="G364" s="525"/>
      <c r="H364" s="503"/>
      <c r="I364" s="503"/>
      <c r="J364" s="503"/>
      <c r="K364" s="503"/>
      <c r="L364" s="503"/>
      <c r="M364" s="504"/>
      <c r="N364" s="370">
        <f>SUM(N356:N363)</f>
        <v>10380</v>
      </c>
      <c r="O364" s="538"/>
      <c r="P364" s="361"/>
      <c r="Q364" s="524"/>
      <c r="R364" s="524"/>
      <c r="S364" s="524"/>
      <c r="T364" s="524"/>
      <c r="U364" s="524"/>
      <c r="V364" s="524"/>
      <c r="W364" s="524"/>
      <c r="X364" s="524"/>
      <c r="Y364" s="524"/>
      <c r="Z364" s="524"/>
      <c r="AA364" s="524"/>
      <c r="AB364" s="529"/>
      <c r="AC364" s="595"/>
      <c r="AD364" s="595"/>
    </row>
    <row r="365" spans="1:42" s="48" customFormat="1">
      <c r="A365" s="511"/>
      <c r="B365" s="641"/>
      <c r="D365" s="314"/>
      <c r="E365" s="456"/>
      <c r="F365" s="51"/>
      <c r="G365" s="512"/>
      <c r="H365" s="51"/>
      <c r="I365" s="51"/>
      <c r="J365" s="51"/>
      <c r="K365" s="51"/>
      <c r="L365" s="51"/>
      <c r="M365" s="51"/>
      <c r="O365" s="521"/>
      <c r="AC365" s="597"/>
      <c r="AD365" s="597"/>
    </row>
    <row r="366" spans="1:42" s="25" customFormat="1" ht="15">
      <c r="A366" s="331"/>
      <c r="B366" s="453"/>
      <c r="C366" s="534" t="s">
        <v>657</v>
      </c>
      <c r="D366" s="496"/>
      <c r="E366" s="363"/>
      <c r="F366" s="364"/>
      <c r="G366" s="505"/>
      <c r="H366" s="364"/>
      <c r="I366" s="364"/>
      <c r="J366" s="364"/>
      <c r="K366" s="364"/>
      <c r="L366" s="364"/>
      <c r="M366" s="365"/>
      <c r="N366" s="522"/>
      <c r="O366" s="542"/>
      <c r="P366" s="535"/>
      <c r="Q366" s="514"/>
      <c r="R366" s="514"/>
      <c r="S366" s="515"/>
      <c r="T366" s="455"/>
      <c r="U366" s="455"/>
      <c r="V366" s="455"/>
      <c r="W366" s="455"/>
      <c r="X366" s="455"/>
      <c r="Y366" s="455"/>
      <c r="Z366" s="455"/>
      <c r="AA366" s="455"/>
      <c r="AB366" s="516"/>
      <c r="AC366" s="595"/>
      <c r="AD366" s="595"/>
    </row>
    <row r="367" spans="1:42">
      <c r="A367" s="331"/>
      <c r="C367" s="47" t="s">
        <v>788</v>
      </c>
      <c r="D367" s="314"/>
      <c r="E367" s="357">
        <f t="shared" ref="E367" ca="1" si="575">F367*G367</f>
        <v>0</v>
      </c>
      <c r="F367" s="368">
        <f t="shared" ref="F367" ca="1" si="576">SUM(H367:M367)</f>
        <v>0</v>
      </c>
      <c r="G367" s="508">
        <v>1000</v>
      </c>
      <c r="H367" s="533">
        <v>0</v>
      </c>
      <c r="I367" s="359">
        <v>0</v>
      </c>
      <c r="J367" s="359">
        <f ca="1">SUMIF('List of equipment'!$D$130:$D$148,'List of equipment'!D183,'List of equipment'!$F$130:$F$147)</f>
        <v>0</v>
      </c>
      <c r="K367" s="359">
        <v>0</v>
      </c>
      <c r="L367" s="359">
        <v>0</v>
      </c>
      <c r="M367" s="360">
        <v>0</v>
      </c>
      <c r="N367" s="357">
        <f>O367*P367</f>
        <v>4000</v>
      </c>
      <c r="O367" s="543">
        <f t="shared" ref="O367:O369" si="577">SUM(Q367:AB367)</f>
        <v>4</v>
      </c>
      <c r="P367" s="537">
        <f>G367</f>
        <v>1000</v>
      </c>
      <c r="Q367" s="359">
        <v>1</v>
      </c>
      <c r="R367" s="359">
        <v>0</v>
      </c>
      <c r="S367" s="359">
        <v>1</v>
      </c>
      <c r="T367" s="359">
        <v>0</v>
      </c>
      <c r="U367" s="359">
        <v>0</v>
      </c>
      <c r="V367" s="359">
        <v>1</v>
      </c>
      <c r="W367" s="359">
        <v>0</v>
      </c>
      <c r="X367" s="359">
        <v>0</v>
      </c>
      <c r="Y367" s="359">
        <v>0</v>
      </c>
      <c r="Z367" s="359">
        <v>0</v>
      </c>
      <c r="AA367" s="359">
        <v>0</v>
      </c>
      <c r="AB367" s="360">
        <v>1</v>
      </c>
      <c r="AC367" s="595">
        <f>SUM('App 9_Yr1 Headcount'!F242)</f>
        <v>3</v>
      </c>
      <c r="AD367" s="595" t="str">
        <f t="shared" ref="AD367:AD369" ca="1" si="578">IF(SUM(F367,O367)-AC367&gt;=0,"True","False")</f>
        <v>True</v>
      </c>
      <c r="AE367" s="25"/>
      <c r="AF367" s="25"/>
      <c r="AG367" s="25"/>
      <c r="AH367" s="25"/>
      <c r="AI367" s="25"/>
      <c r="AJ367" s="25"/>
      <c r="AK367" s="25"/>
      <c r="AL367" s="25"/>
      <c r="AM367" s="25"/>
      <c r="AN367" s="25"/>
      <c r="AO367" s="25"/>
      <c r="AP367" s="25"/>
    </row>
    <row r="368" spans="1:42">
      <c r="A368" s="331"/>
      <c r="C368" s="47" t="s">
        <v>789</v>
      </c>
      <c r="D368" s="314"/>
      <c r="E368" s="357">
        <f t="shared" ref="E368:E369" ca="1" si="579">F368*G368</f>
        <v>0</v>
      </c>
      <c r="F368" s="368">
        <f t="shared" ref="F368:F369" ca="1" si="580">SUM(H368:M368)</f>
        <v>0</v>
      </c>
      <c r="G368" s="508">
        <v>40000</v>
      </c>
      <c r="H368" s="533">
        <v>0</v>
      </c>
      <c r="I368" s="359">
        <v>0</v>
      </c>
      <c r="J368" s="359">
        <f ca="1">SUMIF('List of equipment'!$D$130:$D$148,'List of equipment'!D184,'List of equipment'!$F$130:$F$147)</f>
        <v>0</v>
      </c>
      <c r="K368" s="359">
        <v>0</v>
      </c>
      <c r="L368" s="359">
        <v>0</v>
      </c>
      <c r="M368" s="360">
        <v>0</v>
      </c>
      <c r="N368" s="357">
        <f t="shared" ref="N368:N369" si="581">O368*P368</f>
        <v>40000</v>
      </c>
      <c r="O368" s="543">
        <f t="shared" si="577"/>
        <v>1</v>
      </c>
      <c r="P368" s="537">
        <f t="shared" ref="P368:P369" si="582">G368</f>
        <v>40000</v>
      </c>
      <c r="Q368" s="359">
        <v>0</v>
      </c>
      <c r="R368" s="359">
        <v>0</v>
      </c>
      <c r="S368" s="359">
        <v>1</v>
      </c>
      <c r="T368" s="359">
        <v>0</v>
      </c>
      <c r="U368" s="359">
        <v>0</v>
      </c>
      <c r="V368" s="359">
        <v>0</v>
      </c>
      <c r="W368" s="359">
        <v>0</v>
      </c>
      <c r="X368" s="359">
        <v>0</v>
      </c>
      <c r="Y368" s="359">
        <v>0</v>
      </c>
      <c r="Z368" s="359">
        <v>0</v>
      </c>
      <c r="AA368" s="359">
        <v>0</v>
      </c>
      <c r="AB368" s="360">
        <v>0</v>
      </c>
      <c r="AC368" s="595"/>
      <c r="AD368" s="595" t="str">
        <f t="shared" ca="1" si="578"/>
        <v>True</v>
      </c>
      <c r="AE368" s="25"/>
      <c r="AF368" s="25"/>
      <c r="AG368" s="25"/>
      <c r="AH368" s="25"/>
      <c r="AI368" s="25"/>
      <c r="AJ368" s="25"/>
      <c r="AK368" s="25"/>
      <c r="AL368" s="25"/>
      <c r="AM368" s="25"/>
      <c r="AN368" s="25"/>
      <c r="AO368" s="25"/>
      <c r="AP368" s="25"/>
    </row>
    <row r="369" spans="1:42">
      <c r="A369" s="331"/>
      <c r="C369" s="47" t="s">
        <v>790</v>
      </c>
      <c r="D369" s="314"/>
      <c r="E369" s="357">
        <f t="shared" ca="1" si="579"/>
        <v>0</v>
      </c>
      <c r="F369" s="368">
        <f t="shared" ca="1" si="580"/>
        <v>0</v>
      </c>
      <c r="G369" s="508">
        <v>60000</v>
      </c>
      <c r="H369" s="533">
        <v>0</v>
      </c>
      <c r="I369" s="359">
        <v>0</v>
      </c>
      <c r="J369" s="359">
        <f ca="1">SUMIF('List of equipment'!$D$130:$D$148,'List of equipment'!D185,'List of equipment'!$F$130:$F$147)</f>
        <v>0</v>
      </c>
      <c r="K369" s="359">
        <v>0</v>
      </c>
      <c r="L369" s="359">
        <v>0</v>
      </c>
      <c r="M369" s="360">
        <v>0</v>
      </c>
      <c r="N369" s="357">
        <f t="shared" si="581"/>
        <v>120000</v>
      </c>
      <c r="O369" s="543">
        <f t="shared" si="577"/>
        <v>2</v>
      </c>
      <c r="P369" s="537">
        <f t="shared" si="582"/>
        <v>60000</v>
      </c>
      <c r="Q369" s="359">
        <v>0</v>
      </c>
      <c r="R369" s="359">
        <v>0</v>
      </c>
      <c r="S369" s="359">
        <v>1</v>
      </c>
      <c r="T369" s="359">
        <v>0</v>
      </c>
      <c r="U369" s="359">
        <v>0</v>
      </c>
      <c r="V369" s="359">
        <v>0</v>
      </c>
      <c r="W369" s="359">
        <v>0</v>
      </c>
      <c r="X369" s="359">
        <v>0</v>
      </c>
      <c r="Y369" s="359">
        <v>0</v>
      </c>
      <c r="Z369" s="359">
        <v>0</v>
      </c>
      <c r="AA369" s="359">
        <v>0</v>
      </c>
      <c r="AB369" s="360">
        <v>1</v>
      </c>
      <c r="AC369" s="595"/>
      <c r="AD369" s="595" t="str">
        <f t="shared" ca="1" si="578"/>
        <v>True</v>
      </c>
      <c r="AE369" s="25"/>
      <c r="AF369" s="25"/>
      <c r="AG369" s="25"/>
      <c r="AH369" s="25"/>
      <c r="AI369" s="25"/>
      <c r="AJ369" s="25"/>
      <c r="AK369" s="25"/>
      <c r="AL369" s="25"/>
      <c r="AM369" s="25"/>
      <c r="AN369" s="25"/>
      <c r="AO369" s="25"/>
      <c r="AP369" s="25"/>
    </row>
    <row r="370" spans="1:42" s="25" customFormat="1" ht="15">
      <c r="A370" s="331"/>
      <c r="B370" s="453"/>
      <c r="C370" s="497"/>
      <c r="D370" s="314"/>
      <c r="E370" s="357"/>
      <c r="F370" s="51"/>
      <c r="G370" s="507"/>
      <c r="H370" s="51"/>
      <c r="I370" s="51"/>
      <c r="J370" s="51"/>
      <c r="K370" s="51"/>
      <c r="L370" s="51"/>
      <c r="M370" s="368"/>
      <c r="N370" s="523"/>
      <c r="O370" s="544"/>
      <c r="P370" s="536"/>
      <c r="Q370" s="352"/>
      <c r="R370" s="352"/>
      <c r="S370" s="348"/>
      <c r="T370" s="48"/>
      <c r="U370" s="48"/>
      <c r="V370" s="48"/>
      <c r="W370" s="48"/>
      <c r="X370" s="48"/>
      <c r="Y370" s="48"/>
      <c r="Z370" s="48"/>
      <c r="AA370" s="48"/>
      <c r="AB370" s="372"/>
      <c r="AC370" s="595"/>
      <c r="AD370" s="595"/>
    </row>
    <row r="371" spans="1:42" ht="15">
      <c r="A371" s="331"/>
      <c r="C371" s="499" t="s">
        <v>234</v>
      </c>
      <c r="D371" s="343"/>
      <c r="E371" s="370">
        <f ca="1">SUM(E367:E369)</f>
        <v>0</v>
      </c>
      <c r="F371" s="501"/>
      <c r="G371" s="500"/>
      <c r="H371" s="502"/>
      <c r="I371" s="502"/>
      <c r="J371" s="503"/>
      <c r="K371" s="503"/>
      <c r="L371" s="503"/>
      <c r="M371" s="504"/>
      <c r="N371" s="370">
        <f>SUM(N367:N369)</f>
        <v>164000</v>
      </c>
      <c r="O371" s="545"/>
      <c r="P371" s="546"/>
      <c r="Q371" s="527"/>
      <c r="R371" s="527"/>
      <c r="S371" s="528"/>
      <c r="T371" s="524"/>
      <c r="U371" s="524"/>
      <c r="V371" s="524"/>
      <c r="W371" s="524"/>
      <c r="X371" s="524"/>
      <c r="Y371" s="524"/>
      <c r="Z371" s="524"/>
      <c r="AA371" s="524"/>
      <c r="AB371" s="529"/>
      <c r="AC371" s="595"/>
      <c r="AD371" s="595"/>
      <c r="AE371" s="25"/>
      <c r="AF371" s="25"/>
      <c r="AG371" s="25"/>
      <c r="AH371" s="25"/>
      <c r="AI371" s="25"/>
      <c r="AJ371" s="25"/>
      <c r="AK371" s="25"/>
      <c r="AL371" s="25"/>
      <c r="AM371" s="25"/>
      <c r="AN371" s="25"/>
      <c r="AO371" s="25"/>
      <c r="AP371" s="25"/>
    </row>
    <row r="372" spans="1:42">
      <c r="A372" s="331"/>
      <c r="C372" s="25"/>
      <c r="D372" s="25"/>
      <c r="E372" s="25"/>
      <c r="F372" s="25"/>
      <c r="G372" s="216"/>
      <c r="H372" s="332"/>
      <c r="I372" s="332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V372" s="25"/>
      <c r="W372" s="25"/>
      <c r="X372" s="25"/>
      <c r="Y372" s="25"/>
      <c r="Z372" s="25"/>
      <c r="AA372" s="25"/>
      <c r="AB372" s="25"/>
      <c r="AC372" s="595"/>
      <c r="AD372" s="595"/>
      <c r="AE372" s="25"/>
      <c r="AF372" s="25"/>
      <c r="AG372" s="25"/>
      <c r="AH372" s="25"/>
      <c r="AI372" s="25"/>
      <c r="AJ372" s="25"/>
      <c r="AK372" s="25"/>
      <c r="AL372" s="25"/>
      <c r="AM372" s="25"/>
      <c r="AN372" s="25"/>
      <c r="AO372" s="25"/>
      <c r="AP372" s="25"/>
    </row>
    <row r="373" spans="1:42" s="25" customFormat="1">
      <c r="B373" s="453"/>
      <c r="AC373" s="595"/>
      <c r="AD373" s="595"/>
    </row>
    <row r="374" spans="1:42" s="25" customFormat="1">
      <c r="B374" s="453"/>
      <c r="AC374" s="595"/>
      <c r="AD374" s="595"/>
    </row>
    <row r="375" spans="1:42" s="25" customFormat="1">
      <c r="B375" s="453"/>
      <c r="AC375" s="595"/>
      <c r="AD375" s="595"/>
    </row>
    <row r="376" spans="1:42" s="25" customFormat="1">
      <c r="B376" s="453"/>
      <c r="AC376" s="595"/>
      <c r="AD376" s="595"/>
    </row>
    <row r="377" spans="1:42" s="25" customFormat="1">
      <c r="B377" s="453"/>
      <c r="AC377" s="595"/>
      <c r="AD377" s="595"/>
    </row>
    <row r="378" spans="1:42" s="25" customFormat="1">
      <c r="B378" s="453"/>
      <c r="AC378" s="595"/>
      <c r="AD378" s="595"/>
    </row>
    <row r="379" spans="1:42" s="25" customFormat="1">
      <c r="B379" s="453"/>
      <c r="AC379" s="595"/>
      <c r="AD379" s="595"/>
    </row>
    <row r="380" spans="1:42" s="25" customFormat="1">
      <c r="B380" s="453"/>
      <c r="AC380" s="595"/>
      <c r="AD380" s="595"/>
    </row>
    <row r="381" spans="1:42" s="25" customFormat="1">
      <c r="B381" s="453"/>
      <c r="AC381" s="595"/>
      <c r="AD381" s="595"/>
    </row>
    <row r="382" spans="1:42" s="25" customFormat="1">
      <c r="B382" s="453"/>
      <c r="AC382" s="595"/>
      <c r="AD382" s="595"/>
    </row>
    <row r="383" spans="1:42" s="25" customFormat="1">
      <c r="B383" s="453"/>
      <c r="AC383" s="595"/>
      <c r="AD383" s="595"/>
    </row>
    <row r="384" spans="1:42" s="25" customFormat="1">
      <c r="B384" s="453"/>
      <c r="AC384" s="595"/>
      <c r="AD384" s="595"/>
    </row>
    <row r="385" spans="2:30" s="25" customFormat="1">
      <c r="B385" s="453"/>
      <c r="AC385" s="595"/>
      <c r="AD385" s="595"/>
    </row>
    <row r="386" spans="2:30" s="25" customFormat="1">
      <c r="B386" s="453"/>
      <c r="AC386" s="595"/>
      <c r="AD386" s="595"/>
    </row>
    <row r="387" spans="2:30" s="25" customFormat="1">
      <c r="B387" s="453"/>
      <c r="AC387" s="595"/>
      <c r="AD387" s="595"/>
    </row>
    <row r="388" spans="2:30" s="25" customFormat="1">
      <c r="B388" s="453"/>
      <c r="AC388" s="595"/>
      <c r="AD388" s="595"/>
    </row>
    <row r="389" spans="2:30" s="25" customFormat="1">
      <c r="B389" s="453"/>
      <c r="AC389" s="595"/>
      <c r="AD389" s="595"/>
    </row>
    <row r="390" spans="2:30" s="25" customFormat="1">
      <c r="B390" s="453"/>
      <c r="AC390" s="595"/>
      <c r="AD390" s="595"/>
    </row>
    <row r="391" spans="2:30" s="25" customFormat="1">
      <c r="B391" s="453"/>
      <c r="AC391" s="595"/>
      <c r="AD391" s="595"/>
    </row>
    <row r="392" spans="2:30" s="25" customFormat="1">
      <c r="B392" s="453"/>
      <c r="AC392" s="595"/>
      <c r="AD392" s="595"/>
    </row>
    <row r="393" spans="2:30" s="25" customFormat="1">
      <c r="B393" s="453"/>
      <c r="AC393" s="595"/>
      <c r="AD393" s="595"/>
    </row>
    <row r="394" spans="2:30" s="25" customFormat="1">
      <c r="B394" s="453"/>
      <c r="AC394" s="595"/>
      <c r="AD394" s="595"/>
    </row>
    <row r="395" spans="2:30" s="25" customFormat="1">
      <c r="B395" s="453"/>
      <c r="AC395" s="595"/>
      <c r="AD395" s="595"/>
    </row>
    <row r="396" spans="2:30" s="25" customFormat="1">
      <c r="B396" s="453"/>
      <c r="AC396" s="595"/>
      <c r="AD396" s="595"/>
    </row>
    <row r="397" spans="2:30" s="25" customFormat="1">
      <c r="B397" s="453"/>
      <c r="AC397" s="595"/>
      <c r="AD397" s="595"/>
    </row>
    <row r="398" spans="2:30" s="25" customFormat="1">
      <c r="B398" s="453"/>
      <c r="AC398" s="595"/>
      <c r="AD398" s="595"/>
    </row>
    <row r="399" spans="2:30" s="25" customFormat="1">
      <c r="B399" s="453"/>
      <c r="AC399" s="595"/>
      <c r="AD399" s="595"/>
    </row>
    <row r="400" spans="2:30" s="25" customFormat="1">
      <c r="B400" s="453"/>
      <c r="AC400" s="595"/>
      <c r="AD400" s="595"/>
    </row>
    <row r="401" spans="2:30" s="25" customFormat="1">
      <c r="B401" s="453"/>
      <c r="AC401" s="595"/>
      <c r="AD401" s="595"/>
    </row>
    <row r="402" spans="2:30" s="25" customFormat="1">
      <c r="B402" s="453"/>
      <c r="AC402" s="595"/>
      <c r="AD402" s="595"/>
    </row>
    <row r="403" spans="2:30" s="25" customFormat="1">
      <c r="B403" s="453"/>
      <c r="AC403" s="595"/>
      <c r="AD403" s="595"/>
    </row>
    <row r="404" spans="2:30" s="25" customFormat="1">
      <c r="B404" s="453"/>
      <c r="AC404" s="595"/>
      <c r="AD404" s="595"/>
    </row>
    <row r="405" spans="2:30" s="25" customFormat="1">
      <c r="B405" s="453"/>
      <c r="AC405" s="595"/>
      <c r="AD405" s="595"/>
    </row>
    <row r="406" spans="2:30" s="25" customFormat="1">
      <c r="B406" s="453"/>
      <c r="AC406" s="595"/>
      <c r="AD406" s="595"/>
    </row>
    <row r="407" spans="2:30" s="25" customFormat="1">
      <c r="B407" s="453"/>
      <c r="AC407" s="595"/>
      <c r="AD407" s="595"/>
    </row>
    <row r="408" spans="2:30" s="25" customFormat="1">
      <c r="B408" s="453"/>
      <c r="AC408" s="595"/>
      <c r="AD408" s="595"/>
    </row>
    <row r="409" spans="2:30" s="25" customFormat="1">
      <c r="B409" s="453"/>
      <c r="AC409" s="595"/>
      <c r="AD409" s="595"/>
    </row>
    <row r="410" spans="2:30" s="25" customFormat="1">
      <c r="B410" s="453"/>
      <c r="AC410" s="595"/>
      <c r="AD410" s="595"/>
    </row>
    <row r="411" spans="2:30" s="25" customFormat="1">
      <c r="B411" s="453"/>
      <c r="AC411" s="595"/>
      <c r="AD411" s="595"/>
    </row>
    <row r="412" spans="2:30" s="25" customFormat="1">
      <c r="B412" s="453"/>
      <c r="AC412" s="595"/>
      <c r="AD412" s="595"/>
    </row>
    <row r="413" spans="2:30" s="25" customFormat="1">
      <c r="B413" s="453"/>
      <c r="AC413" s="595"/>
      <c r="AD413" s="595"/>
    </row>
    <row r="414" spans="2:30" s="25" customFormat="1">
      <c r="B414" s="453"/>
      <c r="AC414" s="595"/>
      <c r="AD414" s="595"/>
    </row>
    <row r="415" spans="2:30" s="25" customFormat="1">
      <c r="B415" s="453"/>
      <c r="AC415" s="595"/>
      <c r="AD415" s="595"/>
    </row>
    <row r="416" spans="2:30" s="25" customFormat="1">
      <c r="B416" s="453"/>
      <c r="AC416" s="595"/>
      <c r="AD416" s="595"/>
    </row>
    <row r="417" spans="2:30" s="25" customFormat="1">
      <c r="B417" s="453"/>
      <c r="AC417" s="595"/>
      <c r="AD417" s="595"/>
    </row>
    <row r="418" spans="2:30" s="25" customFormat="1">
      <c r="B418" s="453"/>
      <c r="AC418" s="595"/>
      <c r="AD418" s="595"/>
    </row>
    <row r="419" spans="2:30" s="25" customFormat="1">
      <c r="B419" s="453"/>
      <c r="AC419" s="595"/>
      <c r="AD419" s="595"/>
    </row>
    <row r="420" spans="2:30" s="25" customFormat="1">
      <c r="B420" s="453"/>
      <c r="AC420" s="595"/>
      <c r="AD420" s="595"/>
    </row>
    <row r="421" spans="2:30" s="25" customFormat="1">
      <c r="B421" s="453"/>
      <c r="AC421" s="595"/>
      <c r="AD421" s="595"/>
    </row>
    <row r="422" spans="2:30" s="25" customFormat="1">
      <c r="B422" s="453"/>
      <c r="AC422" s="595"/>
      <c r="AD422" s="595"/>
    </row>
    <row r="423" spans="2:30" s="25" customFormat="1">
      <c r="B423" s="453"/>
      <c r="AC423" s="595"/>
      <c r="AD423" s="595"/>
    </row>
    <row r="424" spans="2:30" s="25" customFormat="1">
      <c r="B424" s="453"/>
      <c r="AC424" s="595"/>
      <c r="AD424" s="595"/>
    </row>
    <row r="425" spans="2:30" s="25" customFormat="1">
      <c r="B425" s="453"/>
      <c r="AC425" s="595"/>
      <c r="AD425" s="595"/>
    </row>
    <row r="426" spans="2:30" s="25" customFormat="1">
      <c r="B426" s="453"/>
      <c r="AC426" s="595"/>
      <c r="AD426" s="595"/>
    </row>
    <row r="427" spans="2:30" s="25" customFormat="1">
      <c r="B427" s="453"/>
      <c r="AC427" s="595"/>
      <c r="AD427" s="595"/>
    </row>
    <row r="428" spans="2:30" s="25" customFormat="1">
      <c r="B428" s="453"/>
      <c r="AC428" s="595"/>
      <c r="AD428" s="595"/>
    </row>
    <row r="429" spans="2:30" s="25" customFormat="1">
      <c r="B429" s="453"/>
      <c r="AC429" s="595"/>
      <c r="AD429" s="595"/>
    </row>
    <row r="430" spans="2:30" s="25" customFormat="1">
      <c r="B430" s="453"/>
      <c r="AC430" s="595"/>
      <c r="AD430" s="595"/>
    </row>
    <row r="431" spans="2:30" s="25" customFormat="1">
      <c r="B431" s="453"/>
      <c r="AC431" s="595"/>
      <c r="AD431" s="595"/>
    </row>
    <row r="432" spans="2:30" s="25" customFormat="1">
      <c r="B432" s="453"/>
      <c r="AC432" s="595"/>
      <c r="AD432" s="595"/>
    </row>
    <row r="433" spans="2:30" s="25" customFormat="1">
      <c r="B433" s="453"/>
      <c r="AC433" s="595"/>
      <c r="AD433" s="595"/>
    </row>
    <row r="434" spans="2:30" s="25" customFormat="1">
      <c r="B434" s="453"/>
      <c r="AC434" s="595"/>
      <c r="AD434" s="595"/>
    </row>
    <row r="435" spans="2:30" s="25" customFormat="1">
      <c r="B435" s="453"/>
      <c r="AC435" s="595"/>
      <c r="AD435" s="595"/>
    </row>
    <row r="436" spans="2:30" s="25" customFormat="1">
      <c r="B436" s="453"/>
      <c r="AC436" s="595"/>
      <c r="AD436" s="595"/>
    </row>
    <row r="437" spans="2:30" s="25" customFormat="1">
      <c r="B437" s="453"/>
      <c r="AC437" s="595"/>
      <c r="AD437" s="595"/>
    </row>
    <row r="438" spans="2:30" s="25" customFormat="1">
      <c r="B438" s="453"/>
      <c r="AC438" s="595"/>
      <c r="AD438" s="595"/>
    </row>
    <row r="439" spans="2:30" s="25" customFormat="1">
      <c r="B439" s="453"/>
      <c r="AC439" s="595"/>
      <c r="AD439" s="595"/>
    </row>
    <row r="440" spans="2:30" s="25" customFormat="1">
      <c r="B440" s="453"/>
      <c r="AC440" s="595"/>
      <c r="AD440" s="595"/>
    </row>
    <row r="441" spans="2:30" s="25" customFormat="1">
      <c r="B441" s="453"/>
      <c r="AC441" s="595"/>
      <c r="AD441" s="595"/>
    </row>
    <row r="442" spans="2:30" s="25" customFormat="1">
      <c r="B442" s="453"/>
      <c r="AC442" s="595"/>
      <c r="AD442" s="595"/>
    </row>
    <row r="443" spans="2:30" s="25" customFormat="1">
      <c r="B443" s="453"/>
      <c r="AC443" s="595"/>
      <c r="AD443" s="595"/>
    </row>
    <row r="444" spans="2:30" s="25" customFormat="1">
      <c r="B444" s="453"/>
      <c r="AC444" s="595"/>
      <c r="AD444" s="595"/>
    </row>
    <row r="445" spans="2:30" s="25" customFormat="1">
      <c r="B445" s="453"/>
      <c r="AC445" s="595"/>
      <c r="AD445" s="595"/>
    </row>
    <row r="446" spans="2:30" s="25" customFormat="1">
      <c r="B446" s="453"/>
      <c r="AC446" s="595"/>
      <c r="AD446" s="595"/>
    </row>
    <row r="447" spans="2:30" s="25" customFormat="1">
      <c r="B447" s="453"/>
      <c r="AC447" s="595"/>
      <c r="AD447" s="595"/>
    </row>
    <row r="448" spans="2:30" s="25" customFormat="1">
      <c r="B448" s="453"/>
      <c r="AC448" s="595"/>
      <c r="AD448" s="595"/>
    </row>
    <row r="449" spans="2:30" s="25" customFormat="1">
      <c r="B449" s="453"/>
      <c r="AC449" s="595"/>
      <c r="AD449" s="595"/>
    </row>
    <row r="450" spans="2:30" s="25" customFormat="1">
      <c r="B450" s="453"/>
      <c r="AC450" s="595"/>
      <c r="AD450" s="595"/>
    </row>
    <row r="451" spans="2:30" s="25" customFormat="1">
      <c r="B451" s="453"/>
      <c r="AC451" s="595"/>
      <c r="AD451" s="595"/>
    </row>
    <row r="452" spans="2:30" s="25" customFormat="1">
      <c r="B452" s="453"/>
      <c r="AC452" s="595"/>
      <c r="AD452" s="595"/>
    </row>
    <row r="453" spans="2:30" s="25" customFormat="1">
      <c r="B453" s="453"/>
      <c r="AC453" s="595"/>
      <c r="AD453" s="595"/>
    </row>
    <row r="454" spans="2:30" s="25" customFormat="1">
      <c r="B454" s="453"/>
      <c r="AC454" s="595"/>
      <c r="AD454" s="595"/>
    </row>
    <row r="455" spans="2:30" s="25" customFormat="1">
      <c r="B455" s="453"/>
      <c r="AC455" s="595"/>
      <c r="AD455" s="595"/>
    </row>
    <row r="456" spans="2:30" s="25" customFormat="1">
      <c r="B456" s="453"/>
      <c r="AC456" s="595"/>
      <c r="AD456" s="595"/>
    </row>
    <row r="457" spans="2:30" s="25" customFormat="1">
      <c r="B457" s="453"/>
      <c r="AC457" s="595"/>
      <c r="AD457" s="595"/>
    </row>
    <row r="458" spans="2:30" s="25" customFormat="1">
      <c r="B458" s="453"/>
      <c r="AC458" s="595"/>
      <c r="AD458" s="595"/>
    </row>
    <row r="459" spans="2:30" s="25" customFormat="1">
      <c r="B459" s="453"/>
      <c r="AC459" s="595"/>
      <c r="AD459" s="595"/>
    </row>
    <row r="460" spans="2:30" s="25" customFormat="1">
      <c r="B460" s="453"/>
      <c r="AC460" s="595"/>
      <c r="AD460" s="595"/>
    </row>
    <row r="461" spans="2:30" s="25" customFormat="1">
      <c r="B461" s="453"/>
      <c r="AC461" s="595"/>
      <c r="AD461" s="595"/>
    </row>
    <row r="462" spans="2:30" s="25" customFormat="1">
      <c r="B462" s="453"/>
      <c r="AC462" s="595"/>
      <c r="AD462" s="595"/>
    </row>
    <row r="463" spans="2:30" s="25" customFormat="1">
      <c r="B463" s="453"/>
      <c r="AC463" s="595"/>
      <c r="AD463" s="595"/>
    </row>
    <row r="464" spans="2:30" s="25" customFormat="1">
      <c r="B464" s="453"/>
      <c r="AC464" s="595"/>
      <c r="AD464" s="595"/>
    </row>
    <row r="465" spans="2:30" s="25" customFormat="1">
      <c r="B465" s="453"/>
      <c r="AC465" s="595"/>
      <c r="AD465" s="595"/>
    </row>
    <row r="466" spans="2:30" s="25" customFormat="1">
      <c r="B466" s="453"/>
      <c r="AC466" s="595"/>
      <c r="AD466" s="595"/>
    </row>
    <row r="467" spans="2:30" s="25" customFormat="1">
      <c r="B467" s="453"/>
      <c r="AC467" s="595"/>
      <c r="AD467" s="595"/>
    </row>
    <row r="468" spans="2:30" s="25" customFormat="1">
      <c r="B468" s="453"/>
      <c r="AC468" s="595"/>
      <c r="AD468" s="595"/>
    </row>
    <row r="469" spans="2:30" s="25" customFormat="1">
      <c r="B469" s="453"/>
      <c r="AC469" s="595"/>
      <c r="AD469" s="595"/>
    </row>
    <row r="470" spans="2:30" s="25" customFormat="1">
      <c r="B470" s="453"/>
      <c r="AC470" s="595"/>
      <c r="AD470" s="595"/>
    </row>
    <row r="471" spans="2:30" s="25" customFormat="1">
      <c r="B471" s="453"/>
      <c r="AC471" s="595"/>
      <c r="AD471" s="595"/>
    </row>
    <row r="472" spans="2:30" s="25" customFormat="1">
      <c r="B472" s="453"/>
      <c r="AC472" s="595"/>
      <c r="AD472" s="595"/>
    </row>
    <row r="473" spans="2:30" s="25" customFormat="1">
      <c r="B473" s="453"/>
      <c r="AC473" s="595"/>
      <c r="AD473" s="595"/>
    </row>
    <row r="474" spans="2:30" s="25" customFormat="1">
      <c r="B474" s="453"/>
      <c r="AC474" s="595"/>
      <c r="AD474" s="595"/>
    </row>
    <row r="475" spans="2:30" s="25" customFormat="1">
      <c r="B475" s="453"/>
      <c r="AC475" s="595"/>
      <c r="AD475" s="595"/>
    </row>
    <row r="476" spans="2:30" s="25" customFormat="1">
      <c r="B476" s="453"/>
      <c r="AC476" s="595"/>
      <c r="AD476" s="595"/>
    </row>
    <row r="477" spans="2:30" s="25" customFormat="1">
      <c r="B477" s="453"/>
      <c r="AC477" s="595"/>
      <c r="AD477" s="595"/>
    </row>
    <row r="478" spans="2:30" s="25" customFormat="1">
      <c r="B478" s="453"/>
      <c r="AC478" s="595"/>
      <c r="AD478" s="595"/>
    </row>
    <row r="479" spans="2:30" s="25" customFormat="1">
      <c r="B479" s="453"/>
      <c r="AC479" s="595"/>
      <c r="AD479" s="595"/>
    </row>
    <row r="480" spans="2:30" s="25" customFormat="1">
      <c r="B480" s="453"/>
      <c r="AC480" s="595"/>
      <c r="AD480" s="595"/>
    </row>
    <row r="481" spans="2:30" s="25" customFormat="1">
      <c r="B481" s="453"/>
      <c r="AC481" s="595"/>
      <c r="AD481" s="595"/>
    </row>
    <row r="482" spans="2:30" s="25" customFormat="1">
      <c r="B482" s="453"/>
      <c r="AC482" s="595"/>
      <c r="AD482" s="595"/>
    </row>
    <row r="483" spans="2:30" s="25" customFormat="1">
      <c r="B483" s="453"/>
      <c r="AC483" s="595"/>
      <c r="AD483" s="595"/>
    </row>
    <row r="484" spans="2:30" s="25" customFormat="1">
      <c r="B484" s="453"/>
      <c r="AC484" s="595"/>
      <c r="AD484" s="595"/>
    </row>
    <row r="485" spans="2:30" s="25" customFormat="1">
      <c r="B485" s="453"/>
      <c r="AC485" s="595"/>
      <c r="AD485" s="595"/>
    </row>
    <row r="486" spans="2:30" s="25" customFormat="1">
      <c r="B486" s="453"/>
      <c r="AC486" s="595"/>
      <c r="AD486" s="595"/>
    </row>
    <row r="487" spans="2:30" s="25" customFormat="1">
      <c r="B487" s="453"/>
      <c r="AC487" s="595"/>
      <c r="AD487" s="595"/>
    </row>
    <row r="488" spans="2:30" s="25" customFormat="1">
      <c r="B488" s="453"/>
      <c r="AC488" s="595"/>
      <c r="AD488" s="595"/>
    </row>
    <row r="489" spans="2:30" s="25" customFormat="1">
      <c r="B489" s="453"/>
      <c r="AC489" s="595"/>
      <c r="AD489" s="595"/>
    </row>
    <row r="490" spans="2:30" s="25" customFormat="1">
      <c r="B490" s="453"/>
      <c r="AC490" s="595"/>
      <c r="AD490" s="595"/>
    </row>
    <row r="491" spans="2:30" s="25" customFormat="1">
      <c r="B491" s="453"/>
      <c r="AC491" s="595"/>
      <c r="AD491" s="595"/>
    </row>
    <row r="492" spans="2:30" s="25" customFormat="1">
      <c r="B492" s="453"/>
      <c r="AC492" s="595"/>
      <c r="AD492" s="595"/>
    </row>
    <row r="493" spans="2:30" s="25" customFormat="1">
      <c r="B493" s="453"/>
      <c r="AC493" s="595"/>
      <c r="AD493" s="595"/>
    </row>
    <row r="494" spans="2:30" s="25" customFormat="1">
      <c r="B494" s="453"/>
      <c r="AC494" s="595"/>
      <c r="AD494" s="595"/>
    </row>
    <row r="495" spans="2:30" s="25" customFormat="1">
      <c r="B495" s="453"/>
      <c r="AC495" s="595"/>
      <c r="AD495" s="595"/>
    </row>
    <row r="496" spans="2:30" s="25" customFormat="1">
      <c r="B496" s="453"/>
      <c r="AC496" s="595"/>
      <c r="AD496" s="595"/>
    </row>
    <row r="497" spans="2:30" s="25" customFormat="1">
      <c r="B497" s="453"/>
      <c r="AC497" s="595"/>
      <c r="AD497" s="595"/>
    </row>
    <row r="498" spans="2:30" s="25" customFormat="1">
      <c r="B498" s="453"/>
      <c r="AC498" s="595"/>
      <c r="AD498" s="595"/>
    </row>
    <row r="499" spans="2:30" s="25" customFormat="1">
      <c r="B499" s="453"/>
      <c r="AC499" s="595"/>
      <c r="AD499" s="595"/>
    </row>
    <row r="500" spans="2:30" s="25" customFormat="1">
      <c r="B500" s="453"/>
      <c r="AC500" s="595"/>
      <c r="AD500" s="595"/>
    </row>
    <row r="501" spans="2:30" s="25" customFormat="1">
      <c r="B501" s="453"/>
      <c r="AC501" s="595"/>
      <c r="AD501" s="595"/>
    </row>
    <row r="502" spans="2:30" s="25" customFormat="1">
      <c r="B502" s="453"/>
      <c r="AC502" s="595"/>
      <c r="AD502" s="595"/>
    </row>
    <row r="503" spans="2:30" s="25" customFormat="1">
      <c r="B503" s="453"/>
      <c r="AC503" s="595"/>
      <c r="AD503" s="595"/>
    </row>
    <row r="504" spans="2:30" s="25" customFormat="1">
      <c r="B504" s="453"/>
      <c r="AC504" s="595"/>
      <c r="AD504" s="595"/>
    </row>
    <row r="505" spans="2:30" s="25" customFormat="1">
      <c r="B505" s="453"/>
      <c r="AC505" s="595"/>
      <c r="AD505" s="595"/>
    </row>
    <row r="506" spans="2:30" s="25" customFormat="1">
      <c r="B506" s="453"/>
      <c r="AC506" s="595"/>
      <c r="AD506" s="595"/>
    </row>
    <row r="507" spans="2:30" s="25" customFormat="1">
      <c r="B507" s="453"/>
      <c r="AC507" s="595"/>
      <c r="AD507" s="595"/>
    </row>
    <row r="508" spans="2:30" s="25" customFormat="1">
      <c r="B508" s="453"/>
      <c r="AC508" s="595"/>
      <c r="AD508" s="595"/>
    </row>
    <row r="509" spans="2:30" s="25" customFormat="1">
      <c r="B509" s="453"/>
      <c r="AC509" s="595"/>
      <c r="AD509" s="595"/>
    </row>
    <row r="510" spans="2:30" s="25" customFormat="1">
      <c r="B510" s="453"/>
      <c r="AC510" s="595"/>
      <c r="AD510" s="595"/>
    </row>
  </sheetData>
  <mergeCells count="4">
    <mergeCell ref="E33:M33"/>
    <mergeCell ref="N33:AB33"/>
    <mergeCell ref="E207:M207"/>
    <mergeCell ref="N207:AB207"/>
  </mergeCells>
  <hyperlinks>
    <hyperlink ref="J223" r:id="rId1" display="http://thuvienphapluat.vn/archive/Thong-tu/Thong-tu-15-BYT-TT-huong-dan-phong-kham-benh-da-khoa-khu-vuc-theo-nghi-quyet-15-CP-vb17078t23.aspx"/>
  </hyperlinks>
  <pageMargins left="0.7" right="0.7" top="0.75" bottom="0.75" header="0.3" footer="0.3"/>
  <pageSetup orientation="portrait" r:id="rId2"/>
  <ignoredErrors>
    <ignoredError sqref="O210 F212:F213 F223:F224 O230 O280:O281 O286 F273:F281 F285:F290 O287:O289 F293:F299 O301:O305 O309 O314 AC320 F319:F321 F333 F337:F344 O367:O369 O333 F324:F329 F345:F350 F233 F283 F217:F219 O324:O331 F330:F331 Q39:AB39" formulaRange="1"/>
    <ignoredError sqref="E163" formula="1"/>
    <ignoredError sqref="F332" formula="1" formulaRange="1"/>
  </ignoredErrors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0070C0"/>
  </sheetPr>
  <dimension ref="A1:AA73"/>
  <sheetViews>
    <sheetView topLeftCell="A43" workbookViewId="0">
      <selection activeCell="I9" sqref="I9"/>
    </sheetView>
  </sheetViews>
  <sheetFormatPr defaultRowHeight="12.75" outlineLevelRow="1"/>
  <cols>
    <col min="1" max="1" width="4.5703125" style="25" customWidth="1"/>
    <col min="2" max="2" width="35.140625" style="25" customWidth="1"/>
    <col min="3" max="3" width="9.140625" style="25" customWidth="1"/>
    <col min="4" max="4" width="14" style="25" customWidth="1"/>
    <col min="5" max="5" width="9.85546875" style="25" customWidth="1"/>
    <col min="6" max="6" width="11" style="25" bestFit="1" customWidth="1"/>
    <col min="7" max="8" width="9.85546875" style="25" customWidth="1"/>
    <col min="9" max="9" width="11" style="25" bestFit="1" customWidth="1"/>
    <col min="10" max="12" width="9.85546875" style="25" customWidth="1"/>
    <col min="13" max="13" width="50" style="25" bestFit="1" customWidth="1"/>
    <col min="14" max="25" width="9.85546875" style="25" customWidth="1"/>
    <col min="26" max="16384" width="9.140625" style="25"/>
  </cols>
  <sheetData>
    <row r="1" spans="1:27">
      <c r="A1" s="331"/>
      <c r="M1" s="216"/>
      <c r="N1" s="332"/>
      <c r="O1" s="332"/>
    </row>
    <row r="2" spans="1:27" ht="19.5">
      <c r="A2" s="331"/>
      <c r="B2" s="326" t="s">
        <v>990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17"/>
      <c r="N2" s="332"/>
      <c r="O2" s="332"/>
      <c r="P2" s="2"/>
    </row>
    <row r="3" spans="1:27">
      <c r="A3" s="331"/>
      <c r="B3" s="24" t="s">
        <v>103</v>
      </c>
      <c r="C3" s="24"/>
      <c r="D3" s="24"/>
      <c r="E3" s="24"/>
      <c r="F3" s="24"/>
      <c r="G3" s="24"/>
      <c r="H3" s="24"/>
      <c r="I3" s="24"/>
      <c r="J3" s="24"/>
      <c r="K3" s="24"/>
      <c r="L3" s="24"/>
      <c r="M3" s="217"/>
      <c r="N3" s="332"/>
      <c r="O3" s="332"/>
      <c r="P3" s="2"/>
    </row>
    <row r="4" spans="1:27">
      <c r="A4" s="331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17"/>
      <c r="N4" s="332"/>
      <c r="O4" s="332"/>
      <c r="P4" s="2"/>
    </row>
    <row r="5" spans="1:27">
      <c r="A5" s="331"/>
      <c r="B5" s="38"/>
      <c r="C5" s="39"/>
      <c r="D5" s="39"/>
      <c r="E5" s="39"/>
      <c r="F5" s="39"/>
      <c r="G5" s="39" t="s">
        <v>998</v>
      </c>
      <c r="H5" s="39"/>
      <c r="I5" s="39"/>
      <c r="J5" s="39"/>
      <c r="K5" s="39"/>
      <c r="L5" s="39" t="s">
        <v>24</v>
      </c>
      <c r="M5" s="41"/>
      <c r="N5" s="335"/>
      <c r="O5" s="335"/>
      <c r="P5" s="336"/>
      <c r="Q5" s="336"/>
      <c r="R5" s="336"/>
      <c r="S5" s="336"/>
      <c r="T5" s="336"/>
      <c r="U5" s="336"/>
      <c r="V5" s="336"/>
      <c r="W5" s="336"/>
      <c r="X5" s="336"/>
      <c r="Y5" s="336"/>
      <c r="Z5" s="336"/>
      <c r="AA5" s="336"/>
    </row>
    <row r="6" spans="1:27">
      <c r="A6" s="331"/>
      <c r="B6" s="42" t="str">
        <f t="shared" ref="B6:C9" si="0">B41</f>
        <v>Type of cost</v>
      </c>
      <c r="C6" s="354" t="str">
        <f t="shared" si="0"/>
        <v>Quantity</v>
      </c>
      <c r="D6" s="463" t="str">
        <f t="shared" ref="D6:F6" si="1">D41</f>
        <v>Unit</v>
      </c>
      <c r="E6" s="354" t="str">
        <f t="shared" si="1"/>
        <v>Unit price</v>
      </c>
      <c r="F6" s="354" t="str">
        <f t="shared" si="1"/>
        <v>Total Year 1</v>
      </c>
      <c r="G6" s="67">
        <f>G41</f>
        <v>41275</v>
      </c>
      <c r="H6" s="67">
        <f t="shared" ref="H6:L6" si="2">H41</f>
        <v>41306</v>
      </c>
      <c r="I6" s="67">
        <f t="shared" si="2"/>
        <v>41334</v>
      </c>
      <c r="J6" s="67">
        <f t="shared" si="2"/>
        <v>41365</v>
      </c>
      <c r="K6" s="67">
        <f t="shared" si="2"/>
        <v>41395</v>
      </c>
      <c r="L6" s="67">
        <f t="shared" si="2"/>
        <v>41426</v>
      </c>
      <c r="M6" s="465" t="str">
        <f t="shared" ref="M6:M14" si="3">M41</f>
        <v>Note</v>
      </c>
      <c r="N6" s="332"/>
      <c r="O6" s="332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</row>
    <row r="7" spans="1:27">
      <c r="A7" s="331"/>
      <c r="B7" s="339" t="str">
        <f t="shared" si="0"/>
        <v>Legal assistance fee</v>
      </c>
      <c r="C7" s="51">
        <f t="shared" si="0"/>
        <v>80</v>
      </c>
      <c r="D7" s="458" t="str">
        <f t="shared" ref="D7:E9" si="4">D42</f>
        <v>Hours</v>
      </c>
      <c r="E7" s="456">
        <f t="shared" si="4"/>
        <v>100</v>
      </c>
      <c r="F7" s="357">
        <f>SUM(G7:L7)</f>
        <v>8000</v>
      </c>
      <c r="G7" s="51">
        <f>$E7*G42</f>
        <v>8000</v>
      </c>
      <c r="H7" s="51">
        <f t="shared" ref="G7:L9" si="5">$E7*H42</f>
        <v>0</v>
      </c>
      <c r="I7" s="51">
        <f t="shared" si="5"/>
        <v>0</v>
      </c>
      <c r="J7" s="51">
        <f t="shared" si="5"/>
        <v>0</v>
      </c>
      <c r="K7" s="51">
        <f t="shared" si="5"/>
        <v>0</v>
      </c>
      <c r="L7" s="51">
        <f t="shared" si="5"/>
        <v>0</v>
      </c>
      <c r="M7" s="466">
        <f t="shared" si="3"/>
        <v>0</v>
      </c>
      <c r="N7" s="332"/>
      <c r="O7" s="332"/>
      <c r="P7" s="338"/>
      <c r="Q7" s="338"/>
      <c r="R7" s="338"/>
      <c r="S7" s="338"/>
      <c r="T7" s="338"/>
      <c r="U7" s="338"/>
      <c r="V7" s="338"/>
      <c r="W7" s="338"/>
      <c r="X7" s="338"/>
      <c r="Y7" s="338"/>
      <c r="Z7" s="338"/>
      <c r="AA7" s="338"/>
    </row>
    <row r="8" spans="1:27">
      <c r="A8" s="331"/>
      <c r="B8" s="339" t="str">
        <f>B43</f>
        <v>Investment license acquisition</v>
      </c>
      <c r="C8" s="51">
        <f t="shared" si="0"/>
        <v>1</v>
      </c>
      <c r="D8" s="458" t="str">
        <f t="shared" si="4"/>
        <v>License</v>
      </c>
      <c r="E8" s="456">
        <f t="shared" si="4"/>
        <v>35</v>
      </c>
      <c r="F8" s="357">
        <f>SUM(G8:L8)</f>
        <v>35</v>
      </c>
      <c r="G8" s="51">
        <f t="shared" si="5"/>
        <v>35</v>
      </c>
      <c r="H8" s="51">
        <f t="shared" si="5"/>
        <v>0</v>
      </c>
      <c r="I8" s="51">
        <f t="shared" si="5"/>
        <v>0</v>
      </c>
      <c r="J8" s="51">
        <f t="shared" si="5"/>
        <v>0</v>
      </c>
      <c r="K8" s="51">
        <f t="shared" si="5"/>
        <v>0</v>
      </c>
      <c r="L8" s="368">
        <f t="shared" si="5"/>
        <v>0</v>
      </c>
      <c r="M8" s="466" t="s">
        <v>1645</v>
      </c>
      <c r="N8" s="332"/>
      <c r="O8" s="332"/>
    </row>
    <row r="9" spans="1:27">
      <c r="A9" s="331"/>
      <c r="B9" s="339" t="str">
        <f t="shared" si="0"/>
        <v>Fixture &amp; Fitting out</v>
      </c>
      <c r="C9" s="51">
        <f t="shared" si="0"/>
        <v>1500</v>
      </c>
      <c r="D9" s="458" t="str">
        <f t="shared" si="4"/>
        <v>m2</v>
      </c>
      <c r="E9" s="456">
        <f t="shared" si="4"/>
        <v>100</v>
      </c>
      <c r="F9" s="357">
        <f>SUM(G9:L9)</f>
        <v>150000</v>
      </c>
      <c r="G9" s="51">
        <f t="shared" si="5"/>
        <v>0</v>
      </c>
      <c r="H9" s="51">
        <f t="shared" si="5"/>
        <v>0</v>
      </c>
      <c r="I9" s="51">
        <f t="shared" si="5"/>
        <v>150000</v>
      </c>
      <c r="J9" s="51">
        <f t="shared" si="5"/>
        <v>0</v>
      </c>
      <c r="K9" s="51">
        <f t="shared" si="5"/>
        <v>0</v>
      </c>
      <c r="L9" s="368">
        <f t="shared" si="5"/>
        <v>0</v>
      </c>
      <c r="M9" s="466">
        <f t="shared" si="3"/>
        <v>0</v>
      </c>
      <c r="N9" s="332"/>
      <c r="O9" s="332"/>
    </row>
    <row r="10" spans="1:27">
      <c r="A10" s="331"/>
      <c r="B10" s="339" t="str">
        <f t="shared" ref="B10:E14" si="6">B45</f>
        <v>Consultation equipment</v>
      </c>
      <c r="C10" s="51">
        <f t="shared" si="6"/>
        <v>0</v>
      </c>
      <c r="D10" s="458" t="str">
        <f t="shared" si="6"/>
        <v>Equipment</v>
      </c>
      <c r="E10" s="456">
        <f t="shared" si="6"/>
        <v>0</v>
      </c>
      <c r="F10" s="357">
        <f t="shared" ref="F10:F19" si="7">SUM(G10:L10)</f>
        <v>59730</v>
      </c>
      <c r="G10" s="51">
        <f>'App 6_Yr 1 Capex'!H$96</f>
        <v>0</v>
      </c>
      <c r="H10" s="51">
        <f>'App 6_Yr 1 Capex'!I96</f>
        <v>0</v>
      </c>
      <c r="I10" s="51">
        <f>'App 6_Yr 1 Capex'!J96</f>
        <v>47730</v>
      </c>
      <c r="J10" s="51">
        <f>'App 6_Yr 1 Capex'!K96</f>
        <v>12000</v>
      </c>
      <c r="K10" s="51">
        <f>'App 6_Yr 1 Capex'!L96</f>
        <v>0</v>
      </c>
      <c r="L10" s="368">
        <f>'App 6_Yr 1 Capex'!M96</f>
        <v>0</v>
      </c>
      <c r="M10" s="466">
        <f t="shared" si="3"/>
        <v>0</v>
      </c>
      <c r="N10" s="332"/>
      <c r="O10" s="332"/>
    </row>
    <row r="11" spans="1:27">
      <c r="A11" s="331"/>
      <c r="B11" s="339" t="str">
        <f t="shared" si="6"/>
        <v>Laboratory equipment</v>
      </c>
      <c r="C11" s="51">
        <f t="shared" si="6"/>
        <v>0</v>
      </c>
      <c r="D11" s="458" t="str">
        <f t="shared" si="6"/>
        <v>Equipment</v>
      </c>
      <c r="E11" s="456">
        <f t="shared" si="6"/>
        <v>0</v>
      </c>
      <c r="F11" s="357">
        <f t="shared" ca="1" si="7"/>
        <v>1568819</v>
      </c>
      <c r="G11" s="51">
        <f>'App 6_Yr 1 Capex'!H$146</f>
        <v>0</v>
      </c>
      <c r="H11" s="51">
        <f>'App 6_Yr 1 Capex'!I146</f>
        <v>0</v>
      </c>
      <c r="I11" s="51">
        <f ca="1">'App 6_Yr 1 Capex'!J146</f>
        <v>1568819</v>
      </c>
      <c r="J11" s="51">
        <f>'App 6_Yr 1 Capex'!K146</f>
        <v>0</v>
      </c>
      <c r="K11" s="51">
        <f>'App 6_Yr 1 Capex'!L146</f>
        <v>0</v>
      </c>
      <c r="L11" s="368">
        <f>'App 6_Yr 1 Capex'!M146</f>
        <v>0</v>
      </c>
      <c r="M11" s="466">
        <f t="shared" si="3"/>
        <v>0</v>
      </c>
      <c r="N11" s="332"/>
      <c r="O11" s="332"/>
    </row>
    <row r="12" spans="1:27">
      <c r="A12" s="331"/>
      <c r="B12" s="339" t="str">
        <f t="shared" si="6"/>
        <v>Imaging Diagnosis equipment</v>
      </c>
      <c r="C12" s="51">
        <f t="shared" si="6"/>
        <v>0</v>
      </c>
      <c r="D12" s="458" t="str">
        <f t="shared" si="6"/>
        <v>Equipment</v>
      </c>
      <c r="E12" s="456">
        <f t="shared" si="6"/>
        <v>0</v>
      </c>
      <c r="F12" s="357">
        <f t="shared" si="7"/>
        <v>2138306</v>
      </c>
      <c r="G12" s="51">
        <f>'App 6_Yr 1 Capex'!H$165</f>
        <v>0</v>
      </c>
      <c r="H12" s="51">
        <f>'App 6_Yr 1 Capex'!I165</f>
        <v>0</v>
      </c>
      <c r="I12" s="51">
        <f>'App 6_Yr 1 Capex'!J165</f>
        <v>2138306</v>
      </c>
      <c r="J12" s="51">
        <f>'App 6_Yr 1 Capex'!K165</f>
        <v>0</v>
      </c>
      <c r="K12" s="51">
        <f>'App 6_Yr 1 Capex'!L165</f>
        <v>0</v>
      </c>
      <c r="L12" s="368">
        <f>'App 6_Yr 1 Capex'!M165</f>
        <v>0</v>
      </c>
      <c r="M12" s="466">
        <f t="shared" si="3"/>
        <v>0</v>
      </c>
      <c r="N12" s="332"/>
      <c r="O12" s="332"/>
    </row>
    <row r="13" spans="1:27">
      <c r="A13" s="331"/>
      <c r="B13" s="339" t="str">
        <f t="shared" si="6"/>
        <v>Emergency room equipment</v>
      </c>
      <c r="C13" s="51">
        <f t="shared" si="6"/>
        <v>0</v>
      </c>
      <c r="D13" s="458" t="str">
        <f t="shared" si="6"/>
        <v>Equipment</v>
      </c>
      <c r="E13" s="456">
        <f t="shared" si="6"/>
        <v>0</v>
      </c>
      <c r="F13" s="357">
        <f t="shared" si="7"/>
        <v>16050</v>
      </c>
      <c r="G13" s="572">
        <f>'App 6_Yr 1 Capex'!H$52</f>
        <v>0</v>
      </c>
      <c r="H13" s="51">
        <f>'App 6_Yr 1 Capex'!I52</f>
        <v>0</v>
      </c>
      <c r="I13" s="51">
        <f>'App 6_Yr 1 Capex'!J52</f>
        <v>16050</v>
      </c>
      <c r="J13" s="51">
        <f>'App 6_Yr 1 Capex'!K52</f>
        <v>0</v>
      </c>
      <c r="K13" s="51">
        <f>'App 6_Yr 1 Capex'!L52</f>
        <v>0</v>
      </c>
      <c r="L13" s="368">
        <f>'App 6_Yr 1 Capex'!M52</f>
        <v>0</v>
      </c>
      <c r="M13" s="466">
        <f t="shared" si="3"/>
        <v>0</v>
      </c>
      <c r="N13" s="332"/>
      <c r="O13" s="332"/>
    </row>
    <row r="14" spans="1:27">
      <c r="A14" s="331"/>
      <c r="B14" s="339" t="str">
        <f t="shared" si="6"/>
        <v>Patient room equipment</v>
      </c>
      <c r="C14" s="51">
        <f t="shared" si="6"/>
        <v>0</v>
      </c>
      <c r="D14" s="458" t="str">
        <f t="shared" si="6"/>
        <v>Equipment</v>
      </c>
      <c r="E14" s="456">
        <f t="shared" si="6"/>
        <v>0</v>
      </c>
      <c r="F14" s="357">
        <f t="shared" si="7"/>
        <v>1250</v>
      </c>
      <c r="G14" s="51">
        <f>'App 6_Yr 1 Capex'!H58</f>
        <v>0</v>
      </c>
      <c r="H14" s="51">
        <f>'App 6_Yr 1 Capex'!I58</f>
        <v>0</v>
      </c>
      <c r="I14" s="51">
        <f>'App 6_Yr 1 Capex'!J58</f>
        <v>1250</v>
      </c>
      <c r="J14" s="51">
        <f>'App 6_Yr 1 Capex'!K58</f>
        <v>0</v>
      </c>
      <c r="K14" s="51">
        <f>'App 6_Yr 1 Capex'!L58</f>
        <v>0</v>
      </c>
      <c r="L14" s="368">
        <f>'App 6_Yr 1 Capex'!M58</f>
        <v>0</v>
      </c>
      <c r="M14" s="466">
        <f t="shared" si="3"/>
        <v>0</v>
      </c>
      <c r="N14" s="332"/>
      <c r="O14" s="332"/>
    </row>
    <row r="15" spans="1:27">
      <c r="A15" s="331"/>
      <c r="B15" s="339" t="str">
        <f t="shared" ref="B15:E17" si="8">B50</f>
        <v>Computers &amp; soft-ware</v>
      </c>
      <c r="C15" s="51">
        <f t="shared" si="8"/>
        <v>0</v>
      </c>
      <c r="D15" s="458" t="str">
        <f t="shared" si="8"/>
        <v>Computer</v>
      </c>
      <c r="E15" s="456">
        <f t="shared" si="8"/>
        <v>0</v>
      </c>
      <c r="F15" s="357">
        <f t="shared" ref="F15:F17" si="9">SUM(G15:L15)</f>
        <v>60961</v>
      </c>
      <c r="G15" s="51">
        <f>'App 6_Yr 1 Capex'!H183</f>
        <v>0</v>
      </c>
      <c r="H15" s="51">
        <f>'App 6_Yr 1 Capex'!I183</f>
        <v>0</v>
      </c>
      <c r="I15" s="51">
        <f>'App 6_Yr 1 Capex'!J183</f>
        <v>32000</v>
      </c>
      <c r="J15" s="51">
        <f>'App 6_Yr 1 Capex'!K183</f>
        <v>0</v>
      </c>
      <c r="K15" s="51">
        <f>'App 6_Yr 1 Capex'!L183</f>
        <v>15000</v>
      </c>
      <c r="L15" s="368">
        <f>'App 6_Yr 1 Capex'!M183</f>
        <v>13961</v>
      </c>
      <c r="M15" s="466"/>
      <c r="N15" s="332"/>
      <c r="O15" s="332"/>
    </row>
    <row r="16" spans="1:27">
      <c r="A16" s="331"/>
      <c r="B16" s="339" t="str">
        <f t="shared" si="8"/>
        <v>Furniture</v>
      </c>
      <c r="C16" s="51">
        <f t="shared" si="8"/>
        <v>0</v>
      </c>
      <c r="D16" s="458" t="str">
        <f t="shared" si="8"/>
        <v>Furniture</v>
      </c>
      <c r="E16" s="456">
        <f t="shared" si="8"/>
        <v>0</v>
      </c>
      <c r="F16" s="357">
        <f t="shared" ca="1" si="9"/>
        <v>11140</v>
      </c>
      <c r="G16" s="51">
        <f>'App 6_Yr 1 Capex'!H195</f>
        <v>0</v>
      </c>
      <c r="H16" s="51">
        <f>'App 6_Yr 1 Capex'!I195</f>
        <v>0</v>
      </c>
      <c r="I16" s="51">
        <f ca="1">'App 6_Yr 1 Capex'!J195</f>
        <v>0</v>
      </c>
      <c r="J16" s="51">
        <f>'App 6_Yr 1 Capex'!K195</f>
        <v>0</v>
      </c>
      <c r="K16" s="51">
        <f>'App 6_Yr 1 Capex'!L195</f>
        <v>8000</v>
      </c>
      <c r="L16" s="368">
        <f>'App 6_Yr 1 Capex'!M195</f>
        <v>3140</v>
      </c>
      <c r="M16" s="466"/>
      <c r="N16" s="332"/>
      <c r="O16" s="332"/>
    </row>
    <row r="17" spans="1:15">
      <c r="A17" s="331"/>
      <c r="B17" s="339" t="str">
        <f t="shared" si="8"/>
        <v>Vehicles</v>
      </c>
      <c r="C17" s="51">
        <f t="shared" si="8"/>
        <v>0</v>
      </c>
      <c r="D17" s="458" t="str">
        <f t="shared" si="8"/>
        <v>Vehicle</v>
      </c>
      <c r="E17" s="456">
        <f t="shared" si="8"/>
        <v>0</v>
      </c>
      <c r="F17" s="357">
        <f t="shared" ca="1" si="9"/>
        <v>0</v>
      </c>
      <c r="G17" s="51">
        <f>'App 6_Yr 1 Capex'!H202</f>
        <v>0</v>
      </c>
      <c r="H17" s="51">
        <f>'App 6_Yr 1 Capex'!I202</f>
        <v>0</v>
      </c>
      <c r="I17" s="51">
        <f ca="1">'App 6_Yr 1 Capex'!J202</f>
        <v>0</v>
      </c>
      <c r="J17" s="51">
        <f>'App 6_Yr 1 Capex'!K202</f>
        <v>0</v>
      </c>
      <c r="K17" s="51">
        <f>'App 6_Yr 1 Capex'!L202</f>
        <v>0</v>
      </c>
      <c r="L17" s="368">
        <f>'App 6_Yr 1 Capex'!M202</f>
        <v>0</v>
      </c>
      <c r="M17" s="466"/>
      <c r="N17" s="332"/>
      <c r="O17" s="332"/>
    </row>
    <row r="18" spans="1:15">
      <c r="A18" s="331"/>
      <c r="B18" s="339" t="str">
        <f t="shared" ref="B18:E18" si="10">B53</f>
        <v>Waste treatment system</v>
      </c>
      <c r="C18" s="51">
        <f t="shared" si="10"/>
        <v>1</v>
      </c>
      <c r="D18" s="458" t="str">
        <f t="shared" si="10"/>
        <v>System</v>
      </c>
      <c r="E18" s="456">
        <f t="shared" si="10"/>
        <v>1000</v>
      </c>
      <c r="F18" s="357">
        <f t="shared" si="7"/>
        <v>1000</v>
      </c>
      <c r="G18" s="51">
        <f t="shared" ref="G18:L27" si="11">$E18*G53</f>
        <v>0</v>
      </c>
      <c r="H18" s="51">
        <f t="shared" si="11"/>
        <v>0</v>
      </c>
      <c r="I18" s="51">
        <f t="shared" si="11"/>
        <v>1000</v>
      </c>
      <c r="J18" s="51">
        <f t="shared" si="11"/>
        <v>0</v>
      </c>
      <c r="K18" s="51">
        <f t="shared" si="11"/>
        <v>0</v>
      </c>
      <c r="L18" s="368">
        <f t="shared" si="11"/>
        <v>0</v>
      </c>
      <c r="M18" s="466">
        <f>M53</f>
        <v>0</v>
      </c>
      <c r="N18" s="332"/>
      <c r="O18" s="332"/>
    </row>
    <row r="19" spans="1:15">
      <c r="A19" s="331"/>
      <c r="B19" s="339" t="str">
        <f t="shared" ref="B19:E19" si="12">B54</f>
        <v>Fire safety system</v>
      </c>
      <c r="C19" s="51">
        <f t="shared" si="12"/>
        <v>1</v>
      </c>
      <c r="D19" s="458" t="str">
        <f t="shared" si="12"/>
        <v>System</v>
      </c>
      <c r="E19" s="456">
        <f t="shared" si="12"/>
        <v>100</v>
      </c>
      <c r="F19" s="357">
        <f t="shared" si="7"/>
        <v>100</v>
      </c>
      <c r="G19" s="51">
        <f t="shared" si="11"/>
        <v>0</v>
      </c>
      <c r="H19" s="51">
        <f t="shared" si="11"/>
        <v>0</v>
      </c>
      <c r="I19" s="51">
        <f t="shared" si="11"/>
        <v>100</v>
      </c>
      <c r="J19" s="51">
        <f t="shared" si="11"/>
        <v>0</v>
      </c>
      <c r="K19" s="51">
        <f t="shared" si="11"/>
        <v>0</v>
      </c>
      <c r="L19" s="368">
        <f t="shared" si="11"/>
        <v>0</v>
      </c>
      <c r="M19" s="466">
        <f>M54</f>
        <v>0</v>
      </c>
      <c r="N19" s="332"/>
      <c r="O19" s="332"/>
    </row>
    <row r="20" spans="1:15">
      <c r="A20" s="331"/>
      <c r="B20" s="339" t="str">
        <f t="shared" ref="B20:E20" si="13">B55</f>
        <v>Trademark registration</v>
      </c>
      <c r="C20" s="51">
        <f t="shared" si="13"/>
        <v>1</v>
      </c>
      <c r="D20" s="458" t="str">
        <f t="shared" si="13"/>
        <v>Name</v>
      </c>
      <c r="E20" s="456">
        <f t="shared" si="13"/>
        <v>1000</v>
      </c>
      <c r="F20" s="357">
        <f t="shared" ref="F20:F34" si="14">SUM(G20:L20)</f>
        <v>1000</v>
      </c>
      <c r="G20" s="51">
        <f t="shared" si="11"/>
        <v>0</v>
      </c>
      <c r="H20" s="51">
        <f t="shared" si="11"/>
        <v>0</v>
      </c>
      <c r="I20" s="51">
        <f t="shared" si="11"/>
        <v>0</v>
      </c>
      <c r="J20" s="51">
        <f t="shared" si="11"/>
        <v>0</v>
      </c>
      <c r="K20" s="51">
        <f t="shared" si="11"/>
        <v>1000</v>
      </c>
      <c r="L20" s="368">
        <f t="shared" si="11"/>
        <v>0</v>
      </c>
      <c r="M20" s="466">
        <f t="shared" ref="M20:M34" si="15">M55</f>
        <v>0</v>
      </c>
      <c r="N20" s="332"/>
      <c r="O20" s="332"/>
    </row>
    <row r="21" spans="1:15">
      <c r="A21" s="331"/>
      <c r="B21" s="339" t="str">
        <f t="shared" ref="B21:E22" si="16">B56</f>
        <v>Relationship with Management</v>
      </c>
      <c r="C21" s="51">
        <f t="shared" si="16"/>
        <v>4</v>
      </c>
      <c r="D21" s="458" t="str">
        <f t="shared" si="16"/>
        <v>Gifts</v>
      </c>
      <c r="E21" s="456">
        <f t="shared" si="16"/>
        <v>500</v>
      </c>
      <c r="F21" s="357">
        <f t="shared" si="14"/>
        <v>2000</v>
      </c>
      <c r="G21" s="51">
        <f t="shared" si="11"/>
        <v>500</v>
      </c>
      <c r="H21" s="51">
        <f t="shared" si="11"/>
        <v>500</v>
      </c>
      <c r="I21" s="51">
        <f t="shared" si="11"/>
        <v>0</v>
      </c>
      <c r="J21" s="51">
        <f t="shared" si="11"/>
        <v>1000</v>
      </c>
      <c r="K21" s="51">
        <f t="shared" si="11"/>
        <v>0</v>
      </c>
      <c r="L21" s="368">
        <f t="shared" si="11"/>
        <v>0</v>
      </c>
      <c r="M21" s="466">
        <f t="shared" si="15"/>
        <v>0</v>
      </c>
      <c r="N21" s="332"/>
      <c r="O21" s="332"/>
    </row>
    <row r="22" spans="1:15">
      <c r="A22" s="331"/>
      <c r="B22" s="339" t="str">
        <f t="shared" si="16"/>
        <v>Operating license acquisition</v>
      </c>
      <c r="C22" s="51">
        <f t="shared" si="16"/>
        <v>1</v>
      </c>
      <c r="D22" s="458" t="str">
        <f t="shared" si="16"/>
        <v>License</v>
      </c>
      <c r="E22" s="456">
        <f t="shared" si="16"/>
        <v>45</v>
      </c>
      <c r="F22" s="357">
        <f t="shared" ref="F22" si="17">SUM(G22:L22)</f>
        <v>45</v>
      </c>
      <c r="G22" s="51">
        <f t="shared" si="11"/>
        <v>0</v>
      </c>
      <c r="H22" s="51">
        <f t="shared" si="11"/>
        <v>0</v>
      </c>
      <c r="I22" s="51">
        <f t="shared" si="11"/>
        <v>0</v>
      </c>
      <c r="J22" s="51">
        <f t="shared" si="11"/>
        <v>45</v>
      </c>
      <c r="K22" s="51">
        <f t="shared" si="11"/>
        <v>0</v>
      </c>
      <c r="L22" s="368">
        <f t="shared" si="11"/>
        <v>0</v>
      </c>
      <c r="M22" s="466" t="str">
        <f t="shared" si="15"/>
        <v>After having facilities with a list of doctors and equipments</v>
      </c>
      <c r="N22" s="332"/>
      <c r="O22" s="332"/>
    </row>
    <row r="23" spans="1:15">
      <c r="A23" s="331"/>
      <c r="B23" s="339" t="str">
        <f t="shared" ref="B23:E23" si="18">B58</f>
        <v>Domain purchases (.com)</v>
      </c>
      <c r="C23" s="51">
        <f t="shared" si="18"/>
        <v>1</v>
      </c>
      <c r="D23" s="458" t="str">
        <f t="shared" si="18"/>
        <v>Domain</v>
      </c>
      <c r="E23" s="456">
        <f t="shared" si="18"/>
        <v>80</v>
      </c>
      <c r="F23" s="357">
        <f t="shared" si="14"/>
        <v>80</v>
      </c>
      <c r="G23" s="51">
        <f t="shared" si="11"/>
        <v>0</v>
      </c>
      <c r="H23" s="51">
        <f t="shared" si="11"/>
        <v>0</v>
      </c>
      <c r="I23" s="51">
        <f t="shared" si="11"/>
        <v>0</v>
      </c>
      <c r="J23" s="51">
        <f t="shared" si="11"/>
        <v>0</v>
      </c>
      <c r="K23" s="51">
        <f t="shared" si="11"/>
        <v>80</v>
      </c>
      <c r="L23" s="368">
        <f t="shared" si="11"/>
        <v>0</v>
      </c>
      <c r="M23" s="466">
        <f t="shared" si="15"/>
        <v>0</v>
      </c>
      <c r="N23" s="332"/>
      <c r="O23" s="332"/>
    </row>
    <row r="24" spans="1:15">
      <c r="A24" s="331"/>
      <c r="B24" s="339" t="str">
        <f t="shared" ref="B24:E24" si="19">B59</f>
        <v>Market Survey</v>
      </c>
      <c r="C24" s="51">
        <f t="shared" si="19"/>
        <v>100</v>
      </c>
      <c r="D24" s="458" t="str">
        <f t="shared" si="19"/>
        <v>Doctors</v>
      </c>
      <c r="E24" s="456">
        <f t="shared" si="19"/>
        <v>15</v>
      </c>
      <c r="F24" s="357">
        <f t="shared" si="14"/>
        <v>1500</v>
      </c>
      <c r="G24" s="51">
        <f t="shared" si="11"/>
        <v>0</v>
      </c>
      <c r="H24" s="51">
        <f t="shared" si="11"/>
        <v>1500</v>
      </c>
      <c r="I24" s="51">
        <f t="shared" si="11"/>
        <v>0</v>
      </c>
      <c r="J24" s="51">
        <f t="shared" si="11"/>
        <v>0</v>
      </c>
      <c r="K24" s="51">
        <f t="shared" si="11"/>
        <v>0</v>
      </c>
      <c r="L24" s="368">
        <f t="shared" si="11"/>
        <v>0</v>
      </c>
      <c r="M24" s="466">
        <f t="shared" si="15"/>
        <v>0</v>
      </c>
      <c r="N24" s="332"/>
      <c r="O24" s="332"/>
    </row>
    <row r="25" spans="1:15">
      <c r="A25" s="331"/>
      <c r="B25" s="339" t="str">
        <f t="shared" ref="B25:E25" si="20">B60</f>
        <v>Logo Design</v>
      </c>
      <c r="C25" s="51">
        <f t="shared" si="20"/>
        <v>1</v>
      </c>
      <c r="D25" s="458" t="str">
        <f t="shared" si="20"/>
        <v>Logo</v>
      </c>
      <c r="E25" s="456">
        <f t="shared" si="20"/>
        <v>200</v>
      </c>
      <c r="F25" s="357">
        <f t="shared" si="14"/>
        <v>200</v>
      </c>
      <c r="G25" s="51">
        <f t="shared" si="11"/>
        <v>0</v>
      </c>
      <c r="H25" s="51">
        <f t="shared" si="11"/>
        <v>0</v>
      </c>
      <c r="I25" s="51">
        <f t="shared" si="11"/>
        <v>200</v>
      </c>
      <c r="J25" s="51">
        <f t="shared" si="11"/>
        <v>0</v>
      </c>
      <c r="K25" s="51">
        <f t="shared" si="11"/>
        <v>0</v>
      </c>
      <c r="L25" s="368">
        <f t="shared" si="11"/>
        <v>0</v>
      </c>
      <c r="M25" s="466">
        <f t="shared" si="15"/>
        <v>0</v>
      </c>
      <c r="N25" s="332"/>
      <c r="O25" s="332"/>
    </row>
    <row r="26" spans="1:15">
      <c r="A26" s="331"/>
      <c r="B26" s="339" t="str">
        <f t="shared" ref="B26:E26" si="21">B61</f>
        <v>Trip to Hanoi</v>
      </c>
      <c r="C26" s="51">
        <f t="shared" si="21"/>
        <v>3</v>
      </c>
      <c r="D26" s="458" t="str">
        <f t="shared" si="21"/>
        <v>Trip for two</v>
      </c>
      <c r="E26" s="456">
        <f t="shared" si="21"/>
        <v>500</v>
      </c>
      <c r="F26" s="357">
        <f t="shared" si="14"/>
        <v>1500</v>
      </c>
      <c r="G26" s="51">
        <f t="shared" si="11"/>
        <v>500</v>
      </c>
      <c r="H26" s="51">
        <f t="shared" si="11"/>
        <v>500</v>
      </c>
      <c r="I26" s="51">
        <f t="shared" si="11"/>
        <v>0</v>
      </c>
      <c r="J26" s="51">
        <f t="shared" si="11"/>
        <v>500</v>
      </c>
      <c r="K26" s="51">
        <f t="shared" si="11"/>
        <v>0</v>
      </c>
      <c r="L26" s="368">
        <f t="shared" si="11"/>
        <v>0</v>
      </c>
      <c r="M26" s="466">
        <f t="shared" si="15"/>
        <v>0</v>
      </c>
      <c r="N26" s="332"/>
      <c r="O26" s="332"/>
    </row>
    <row r="27" spans="1:15">
      <c r="A27" s="331"/>
      <c r="B27" s="339" t="str">
        <f t="shared" ref="B27:E27" si="22">B62</f>
        <v>Trip to Vietnam</v>
      </c>
      <c r="C27" s="51">
        <f t="shared" si="22"/>
        <v>4</v>
      </c>
      <c r="D27" s="458" t="str">
        <f t="shared" si="22"/>
        <v>Airticket</v>
      </c>
      <c r="E27" s="456">
        <f t="shared" si="22"/>
        <v>500</v>
      </c>
      <c r="F27" s="357">
        <f t="shared" si="14"/>
        <v>2000</v>
      </c>
      <c r="G27" s="51">
        <f t="shared" si="11"/>
        <v>1000</v>
      </c>
      <c r="H27" s="51">
        <f t="shared" si="11"/>
        <v>0</v>
      </c>
      <c r="I27" s="51">
        <f t="shared" si="11"/>
        <v>0</v>
      </c>
      <c r="J27" s="51">
        <f t="shared" si="11"/>
        <v>1000</v>
      </c>
      <c r="K27" s="51">
        <f t="shared" si="11"/>
        <v>0</v>
      </c>
      <c r="L27" s="368">
        <f t="shared" si="11"/>
        <v>0</v>
      </c>
      <c r="M27" s="466">
        <f t="shared" si="15"/>
        <v>0</v>
      </c>
      <c r="N27" s="332"/>
      <c r="O27" s="332"/>
    </row>
    <row r="28" spans="1:15">
      <c r="A28" s="331"/>
      <c r="B28" s="339" t="str">
        <f t="shared" ref="B28:E28" si="23">B63</f>
        <v>Trips to Korea</v>
      </c>
      <c r="C28" s="51">
        <f t="shared" si="23"/>
        <v>4</v>
      </c>
      <c r="D28" s="458" t="str">
        <f t="shared" si="23"/>
        <v>Airticket</v>
      </c>
      <c r="E28" s="456">
        <f t="shared" si="23"/>
        <v>500</v>
      </c>
      <c r="F28" s="357">
        <f t="shared" si="14"/>
        <v>2000</v>
      </c>
      <c r="G28" s="51">
        <f t="shared" ref="G28:L34" si="24">$E28*G63</f>
        <v>1000</v>
      </c>
      <c r="H28" s="51">
        <f t="shared" si="24"/>
        <v>0</v>
      </c>
      <c r="I28" s="51">
        <f t="shared" si="24"/>
        <v>0</v>
      </c>
      <c r="J28" s="51">
        <f t="shared" si="24"/>
        <v>1000</v>
      </c>
      <c r="K28" s="51">
        <f t="shared" si="24"/>
        <v>0</v>
      </c>
      <c r="L28" s="368">
        <f t="shared" si="24"/>
        <v>0</v>
      </c>
      <c r="M28" s="466">
        <f t="shared" si="15"/>
        <v>0</v>
      </c>
      <c r="N28" s="332"/>
      <c r="O28" s="332"/>
    </row>
    <row r="29" spans="1:15">
      <c r="A29" s="331"/>
      <c r="B29" s="339" t="str">
        <f t="shared" ref="B29:E29" si="25">B64</f>
        <v>Lodging in Vietnam</v>
      </c>
      <c r="C29" s="51">
        <f t="shared" si="25"/>
        <v>10</v>
      </c>
      <c r="D29" s="458" t="str">
        <f t="shared" si="25"/>
        <v>Day for two</v>
      </c>
      <c r="E29" s="456">
        <f t="shared" si="25"/>
        <v>140</v>
      </c>
      <c r="F29" s="357">
        <f t="shared" si="14"/>
        <v>1400</v>
      </c>
      <c r="G29" s="51">
        <f t="shared" si="24"/>
        <v>700</v>
      </c>
      <c r="H29" s="51">
        <f t="shared" si="24"/>
        <v>0</v>
      </c>
      <c r="I29" s="51">
        <f t="shared" si="24"/>
        <v>0</v>
      </c>
      <c r="J29" s="51">
        <f t="shared" si="24"/>
        <v>700</v>
      </c>
      <c r="K29" s="51">
        <f t="shared" si="24"/>
        <v>0</v>
      </c>
      <c r="L29" s="368">
        <f t="shared" si="24"/>
        <v>0</v>
      </c>
      <c r="M29" s="466">
        <f t="shared" si="15"/>
        <v>0</v>
      </c>
      <c r="N29" s="332"/>
      <c r="O29" s="332"/>
    </row>
    <row r="30" spans="1:15">
      <c r="A30" s="331"/>
      <c r="B30" s="339" t="str">
        <f t="shared" ref="B30:E30" si="26">B65</f>
        <v>Mobile Phone Calls</v>
      </c>
      <c r="C30" s="51">
        <f t="shared" si="26"/>
        <v>24</v>
      </c>
      <c r="D30" s="458" t="str">
        <f t="shared" si="26"/>
        <v>Users</v>
      </c>
      <c r="E30" s="456">
        <f t="shared" si="26"/>
        <v>10</v>
      </c>
      <c r="F30" s="357">
        <f t="shared" si="14"/>
        <v>240</v>
      </c>
      <c r="G30" s="51">
        <f t="shared" si="24"/>
        <v>20</v>
      </c>
      <c r="H30" s="51">
        <f t="shared" si="24"/>
        <v>20</v>
      </c>
      <c r="I30" s="51">
        <f t="shared" si="24"/>
        <v>50</v>
      </c>
      <c r="J30" s="51">
        <f t="shared" si="24"/>
        <v>50</v>
      </c>
      <c r="K30" s="51">
        <f t="shared" si="24"/>
        <v>50</v>
      </c>
      <c r="L30" s="368">
        <f t="shared" si="24"/>
        <v>50</v>
      </c>
      <c r="M30" s="466">
        <f t="shared" si="15"/>
        <v>0</v>
      </c>
      <c r="N30" s="332"/>
      <c r="O30" s="332"/>
    </row>
    <row r="31" spans="1:15">
      <c r="A31" s="331"/>
      <c r="B31" s="339" t="str">
        <f t="shared" ref="B31:E31" si="27">B66</f>
        <v>International Calls</v>
      </c>
      <c r="C31" s="51">
        <f t="shared" si="27"/>
        <v>12</v>
      </c>
      <c r="D31" s="458" t="str">
        <f t="shared" si="27"/>
        <v>Hours</v>
      </c>
      <c r="E31" s="456">
        <f t="shared" si="27"/>
        <v>10</v>
      </c>
      <c r="F31" s="357">
        <f t="shared" si="14"/>
        <v>120</v>
      </c>
      <c r="G31" s="51">
        <f t="shared" si="24"/>
        <v>30</v>
      </c>
      <c r="H31" s="51">
        <f t="shared" si="24"/>
        <v>30</v>
      </c>
      <c r="I31" s="51">
        <f t="shared" si="24"/>
        <v>30</v>
      </c>
      <c r="J31" s="51">
        <f t="shared" si="24"/>
        <v>30</v>
      </c>
      <c r="K31" s="51">
        <f t="shared" si="24"/>
        <v>0</v>
      </c>
      <c r="L31" s="368">
        <f t="shared" si="24"/>
        <v>0</v>
      </c>
      <c r="M31" s="466">
        <f t="shared" si="15"/>
        <v>0</v>
      </c>
      <c r="N31" s="332"/>
      <c r="O31" s="332"/>
    </row>
    <row r="32" spans="1:15">
      <c r="A32" s="331"/>
      <c r="B32" s="339" t="str">
        <f t="shared" ref="B32:E32" si="28">B67</f>
        <v>Traveling</v>
      </c>
      <c r="C32" s="51">
        <f t="shared" si="28"/>
        <v>260</v>
      </c>
      <c r="D32" s="458" t="str">
        <f t="shared" si="28"/>
        <v>Taxi trips</v>
      </c>
      <c r="E32" s="456">
        <f t="shared" si="28"/>
        <v>3</v>
      </c>
      <c r="F32" s="357">
        <f t="shared" si="14"/>
        <v>780</v>
      </c>
      <c r="G32" s="51">
        <f t="shared" si="24"/>
        <v>240</v>
      </c>
      <c r="H32" s="51">
        <f t="shared" si="24"/>
        <v>90</v>
      </c>
      <c r="I32" s="51">
        <f t="shared" si="24"/>
        <v>60</v>
      </c>
      <c r="J32" s="51">
        <f t="shared" si="24"/>
        <v>240</v>
      </c>
      <c r="K32" s="51">
        <f t="shared" si="24"/>
        <v>90</v>
      </c>
      <c r="L32" s="368">
        <f t="shared" si="24"/>
        <v>60</v>
      </c>
      <c r="M32" s="466">
        <f t="shared" si="15"/>
        <v>0</v>
      </c>
      <c r="N32" s="332"/>
      <c r="O32" s="332"/>
    </row>
    <row r="33" spans="1:27">
      <c r="A33" s="331"/>
      <c r="B33" s="339" t="str">
        <f t="shared" ref="B33:E33" si="29">B68</f>
        <v>Headhunting service</v>
      </c>
      <c r="C33" s="51">
        <f t="shared" si="29"/>
        <v>4</v>
      </c>
      <c r="D33" s="458" t="str">
        <f t="shared" si="29"/>
        <v>Doctors/Staff</v>
      </c>
      <c r="E33" s="456">
        <f t="shared" si="29"/>
        <v>300</v>
      </c>
      <c r="F33" s="357">
        <f t="shared" si="14"/>
        <v>1200</v>
      </c>
      <c r="G33" s="51">
        <f t="shared" si="24"/>
        <v>0</v>
      </c>
      <c r="H33" s="51">
        <f t="shared" si="24"/>
        <v>1200</v>
      </c>
      <c r="I33" s="51">
        <f t="shared" si="24"/>
        <v>0</v>
      </c>
      <c r="J33" s="51">
        <f t="shared" si="24"/>
        <v>0</v>
      </c>
      <c r="K33" s="51">
        <f t="shared" si="24"/>
        <v>0</v>
      </c>
      <c r="L33" s="368">
        <f t="shared" si="24"/>
        <v>0</v>
      </c>
      <c r="M33" s="466">
        <f t="shared" si="15"/>
        <v>0</v>
      </c>
      <c r="N33" s="332"/>
      <c r="O33" s="332"/>
    </row>
    <row r="34" spans="1:27">
      <c r="A34" s="331"/>
      <c r="B34" s="339" t="str">
        <f t="shared" ref="B34:E34" si="30">B69</f>
        <v>PR Expenses</v>
      </c>
      <c r="C34" s="51">
        <f t="shared" si="30"/>
        <v>1</v>
      </c>
      <c r="D34" s="458" t="str">
        <f t="shared" si="30"/>
        <v>Months</v>
      </c>
      <c r="E34" s="456">
        <f t="shared" si="30"/>
        <v>750</v>
      </c>
      <c r="F34" s="357">
        <f t="shared" si="14"/>
        <v>750</v>
      </c>
      <c r="G34" s="51">
        <f t="shared" si="24"/>
        <v>0</v>
      </c>
      <c r="H34" s="51">
        <f t="shared" si="24"/>
        <v>0</v>
      </c>
      <c r="I34" s="51">
        <f t="shared" si="24"/>
        <v>0</v>
      </c>
      <c r="J34" s="51">
        <f t="shared" si="24"/>
        <v>0</v>
      </c>
      <c r="K34" s="51">
        <f t="shared" si="24"/>
        <v>0</v>
      </c>
      <c r="L34" s="368">
        <f t="shared" si="24"/>
        <v>750</v>
      </c>
      <c r="M34" s="466">
        <f t="shared" si="15"/>
        <v>0</v>
      </c>
      <c r="N34" s="332"/>
      <c r="O34" s="332"/>
    </row>
    <row r="35" spans="1:27">
      <c r="A35" s="331"/>
      <c r="B35" s="339"/>
      <c r="C35" s="51"/>
      <c r="D35" s="458"/>
      <c r="E35" s="456"/>
      <c r="F35" s="357"/>
      <c r="G35" s="51"/>
      <c r="H35" s="51"/>
      <c r="I35" s="51"/>
      <c r="J35" s="51"/>
      <c r="K35" s="51"/>
      <c r="L35" s="368"/>
      <c r="M35" s="466"/>
      <c r="N35" s="332"/>
      <c r="O35" s="332"/>
    </row>
    <row r="36" spans="1:27">
      <c r="A36" s="331"/>
      <c r="B36" s="342" t="str">
        <f>B71</f>
        <v>TOTAL</v>
      </c>
      <c r="C36" s="462"/>
      <c r="D36" s="459"/>
      <c r="E36" s="457"/>
      <c r="F36" s="370">
        <f ca="1">SUM(F7:F34)</f>
        <v>4030206</v>
      </c>
      <c r="G36" s="530">
        <f t="shared" ref="G36:L36" si="31">SUM(G7:G34)</f>
        <v>12025</v>
      </c>
      <c r="H36" s="530">
        <f t="shared" si="31"/>
        <v>3840</v>
      </c>
      <c r="I36" s="530">
        <f t="shared" ca="1" si="31"/>
        <v>3955595</v>
      </c>
      <c r="J36" s="530">
        <f t="shared" si="31"/>
        <v>16565</v>
      </c>
      <c r="K36" s="530">
        <f t="shared" si="31"/>
        <v>24220</v>
      </c>
      <c r="L36" s="577">
        <f t="shared" si="31"/>
        <v>17961</v>
      </c>
      <c r="M36" s="467">
        <f ca="1">F71-F36</f>
        <v>0</v>
      </c>
      <c r="N36" s="332"/>
      <c r="O36" s="332"/>
    </row>
    <row r="37" spans="1:27" ht="15">
      <c r="A37" s="331"/>
      <c r="B37" s="26"/>
      <c r="C37" s="26"/>
      <c r="D37" s="26"/>
      <c r="E37" s="26"/>
      <c r="F37" s="585">
        <f ca="1">F71-F36</f>
        <v>0</v>
      </c>
      <c r="G37" s="585" t="str">
        <f ca="1">IF(F37=0,"true","false")</f>
        <v>true</v>
      </c>
      <c r="H37" s="26"/>
      <c r="I37" s="26"/>
      <c r="J37" s="26"/>
      <c r="K37" s="26"/>
      <c r="L37" s="26"/>
      <c r="M37" s="468"/>
      <c r="N37" s="332"/>
      <c r="O37" s="332"/>
      <c r="S37" s="348"/>
      <c r="T37" s="349"/>
      <c r="U37" s="350"/>
      <c r="V37" s="351"/>
      <c r="W37" s="352"/>
      <c r="X37" s="352"/>
      <c r="Y37" s="348"/>
    </row>
    <row r="38" spans="1:27" ht="15">
      <c r="A38" s="331"/>
      <c r="B38" s="38" t="s">
        <v>1020</v>
      </c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41"/>
      <c r="N38" s="332"/>
      <c r="O38" s="332"/>
      <c r="S38" s="348"/>
      <c r="T38" s="349"/>
      <c r="U38" s="350"/>
      <c r="V38" s="351"/>
      <c r="W38" s="352"/>
      <c r="X38" s="352"/>
      <c r="Y38" s="348"/>
    </row>
    <row r="39" spans="1:27">
      <c r="A39" s="331"/>
      <c r="M39" s="469"/>
      <c r="N39" s="332"/>
      <c r="O39" s="332"/>
    </row>
    <row r="40" spans="1:27">
      <c r="A40" s="331"/>
      <c r="B40" s="38"/>
      <c r="C40" s="39"/>
      <c r="D40" s="39"/>
      <c r="E40" s="39"/>
      <c r="F40" s="39"/>
      <c r="G40" s="39" t="s">
        <v>1021</v>
      </c>
      <c r="H40" s="39"/>
      <c r="I40" s="39"/>
      <c r="J40" s="39"/>
      <c r="K40" s="39"/>
      <c r="L40" s="39"/>
      <c r="M40" s="41"/>
      <c r="N40" s="335"/>
      <c r="O40" s="335"/>
      <c r="P40" s="336"/>
      <c r="Q40" s="336"/>
      <c r="R40" s="336"/>
      <c r="S40" s="336"/>
      <c r="T40" s="336"/>
      <c r="U40" s="336"/>
      <c r="V40" s="336"/>
      <c r="W40" s="336"/>
      <c r="X40" s="336"/>
      <c r="Y40" s="336"/>
      <c r="Z40" s="336"/>
      <c r="AA40" s="336"/>
    </row>
    <row r="41" spans="1:27">
      <c r="A41" s="331"/>
      <c r="B41" s="42" t="s">
        <v>996</v>
      </c>
      <c r="C41" s="354" t="s">
        <v>163</v>
      </c>
      <c r="D41" s="463" t="s">
        <v>101</v>
      </c>
      <c r="E41" s="463" t="s">
        <v>895</v>
      </c>
      <c r="F41" s="354" t="s">
        <v>997</v>
      </c>
      <c r="G41" s="67">
        <v>41275</v>
      </c>
      <c r="H41" s="67">
        <v>41306</v>
      </c>
      <c r="I41" s="67">
        <v>41334</v>
      </c>
      <c r="J41" s="67">
        <v>41365</v>
      </c>
      <c r="K41" s="67">
        <v>41395</v>
      </c>
      <c r="L41" s="67">
        <v>41426</v>
      </c>
      <c r="M41" s="465" t="s">
        <v>236</v>
      </c>
      <c r="N41" s="332"/>
      <c r="O41" s="332"/>
      <c r="P41" s="338"/>
      <c r="Q41" s="338"/>
      <c r="R41" s="338"/>
      <c r="S41" s="338"/>
      <c r="T41" s="338"/>
      <c r="U41" s="338"/>
      <c r="V41" s="338"/>
      <c r="W41" s="338"/>
      <c r="X41" s="338"/>
      <c r="Y41" s="338"/>
      <c r="Z41" s="338"/>
      <c r="AA41" s="338"/>
    </row>
    <row r="42" spans="1:27">
      <c r="A42" s="331"/>
      <c r="B42" s="339" t="s">
        <v>1028</v>
      </c>
      <c r="C42" s="51">
        <f>SUM(G42:L42)</f>
        <v>80</v>
      </c>
      <c r="D42" s="458" t="s">
        <v>1011</v>
      </c>
      <c r="E42" s="464">
        <v>100</v>
      </c>
      <c r="F42" s="357">
        <f>C42*$E42</f>
        <v>8000</v>
      </c>
      <c r="G42" s="359">
        <f>5*4*4</f>
        <v>80</v>
      </c>
      <c r="H42" s="359">
        <v>0</v>
      </c>
      <c r="I42" s="359">
        <v>0</v>
      </c>
      <c r="J42" s="359">
        <v>0</v>
      </c>
      <c r="K42" s="359">
        <v>0</v>
      </c>
      <c r="L42" s="360">
        <v>0</v>
      </c>
      <c r="M42" s="466"/>
      <c r="N42" s="332"/>
      <c r="O42" s="332"/>
      <c r="P42" s="338"/>
      <c r="Q42" s="338"/>
      <c r="R42" s="338"/>
      <c r="S42" s="338"/>
      <c r="T42" s="338"/>
      <c r="U42" s="338"/>
      <c r="V42" s="338"/>
      <c r="W42" s="338"/>
      <c r="X42" s="338"/>
      <c r="Y42" s="338"/>
      <c r="Z42" s="338"/>
      <c r="AA42" s="338"/>
    </row>
    <row r="43" spans="1:27">
      <c r="A43" s="331"/>
      <c r="B43" s="339" t="s">
        <v>1022</v>
      </c>
      <c r="C43" s="51">
        <f>SUM(G43:L43)</f>
        <v>1</v>
      </c>
      <c r="D43" s="458" t="s">
        <v>1023</v>
      </c>
      <c r="E43" s="464">
        <f>(200000+500000)/20000</f>
        <v>35</v>
      </c>
      <c r="F43" s="357">
        <f>C43*$E43</f>
        <v>35</v>
      </c>
      <c r="G43" s="359">
        <v>1</v>
      </c>
      <c r="H43" s="359">
        <v>0</v>
      </c>
      <c r="I43" s="359">
        <v>0</v>
      </c>
      <c r="J43" s="359">
        <v>0</v>
      </c>
      <c r="K43" s="359">
        <v>0</v>
      </c>
      <c r="L43" s="360">
        <v>0</v>
      </c>
      <c r="M43" s="466"/>
      <c r="N43" s="332"/>
      <c r="O43" s="332"/>
    </row>
    <row r="44" spans="1:27">
      <c r="A44" s="331"/>
      <c r="B44" s="339" t="s">
        <v>1622</v>
      </c>
      <c r="C44" s="51">
        <f>'App 10_5Yr Op Exp'!E20</f>
        <v>1500</v>
      </c>
      <c r="D44" s="458" t="s">
        <v>281</v>
      </c>
      <c r="E44" s="464">
        <v>100</v>
      </c>
      <c r="F44" s="357">
        <f>C44*$E44</f>
        <v>150000</v>
      </c>
      <c r="G44" s="359">
        <v>0</v>
      </c>
      <c r="H44" s="359">
        <v>0</v>
      </c>
      <c r="I44" s="359">
        <v>1500</v>
      </c>
      <c r="J44" s="359">
        <v>0</v>
      </c>
      <c r="K44" s="359">
        <v>0</v>
      </c>
      <c r="L44" s="360">
        <v>0</v>
      </c>
      <c r="M44" s="466"/>
      <c r="N44" s="332"/>
      <c r="O44" s="332"/>
    </row>
    <row r="45" spans="1:27" hidden="1" outlineLevel="1">
      <c r="A45" s="331"/>
      <c r="B45" s="339" t="s">
        <v>1597</v>
      </c>
      <c r="C45" s="51"/>
      <c r="D45" s="458" t="s">
        <v>372</v>
      </c>
      <c r="E45" s="464"/>
      <c r="F45" s="357">
        <f>'App 6_Yr 1 Capex'!E96</f>
        <v>59730</v>
      </c>
      <c r="G45" s="359"/>
      <c r="H45" s="359"/>
      <c r="I45" s="359"/>
      <c r="J45" s="359"/>
      <c r="K45" s="359"/>
      <c r="L45" s="360"/>
      <c r="M45" s="466"/>
      <c r="N45" s="332"/>
      <c r="O45" s="332"/>
    </row>
    <row r="46" spans="1:27" hidden="1" outlineLevel="1">
      <c r="A46" s="331"/>
      <c r="B46" s="339" t="s">
        <v>967</v>
      </c>
      <c r="C46" s="51"/>
      <c r="D46" s="458" t="s">
        <v>372</v>
      </c>
      <c r="E46" s="464"/>
      <c r="F46" s="357">
        <f ca="1">'App 6_Yr 1 Capex'!E146</f>
        <v>1568819</v>
      </c>
      <c r="G46" s="359"/>
      <c r="H46" s="359"/>
      <c r="I46" s="359"/>
      <c r="J46" s="359"/>
      <c r="K46" s="359"/>
      <c r="L46" s="360"/>
      <c r="M46" s="466"/>
      <c r="N46" s="332"/>
      <c r="O46" s="332"/>
    </row>
    <row r="47" spans="1:27" hidden="1" outlineLevel="1">
      <c r="A47" s="331"/>
      <c r="B47" s="339" t="s">
        <v>1566</v>
      </c>
      <c r="C47" s="51"/>
      <c r="D47" s="458" t="s">
        <v>372</v>
      </c>
      <c r="E47" s="464"/>
      <c r="F47" s="357">
        <f>'App 6_Yr 1 Capex'!E165</f>
        <v>2138306</v>
      </c>
      <c r="G47" s="359"/>
      <c r="H47" s="359"/>
      <c r="I47" s="359"/>
      <c r="J47" s="359"/>
      <c r="K47" s="359"/>
      <c r="L47" s="360"/>
      <c r="M47" s="466"/>
      <c r="N47" s="332"/>
      <c r="O47" s="332"/>
    </row>
    <row r="48" spans="1:27" hidden="1" outlineLevel="1">
      <c r="A48" s="331"/>
      <c r="B48" s="339" t="s">
        <v>1567</v>
      </c>
      <c r="C48" s="51"/>
      <c r="D48" s="458" t="s">
        <v>372</v>
      </c>
      <c r="E48" s="464"/>
      <c r="F48" s="357">
        <f>'App 6_Yr 1 Capex'!E52</f>
        <v>16050</v>
      </c>
      <c r="G48" s="359"/>
      <c r="H48" s="359"/>
      <c r="I48" s="359"/>
      <c r="J48" s="359"/>
      <c r="K48" s="359"/>
      <c r="L48" s="360"/>
      <c r="M48" s="466"/>
      <c r="N48" s="332"/>
      <c r="O48" s="332"/>
    </row>
    <row r="49" spans="1:15" hidden="1" outlineLevel="1">
      <c r="A49" s="331"/>
      <c r="B49" s="339" t="s">
        <v>1568</v>
      </c>
      <c r="C49" s="51"/>
      <c r="D49" s="458" t="s">
        <v>372</v>
      </c>
      <c r="E49" s="464"/>
      <c r="F49" s="357">
        <f>'App 6_Yr 1 Capex'!E58</f>
        <v>1250</v>
      </c>
      <c r="G49" s="359"/>
      <c r="H49" s="359"/>
      <c r="I49" s="359"/>
      <c r="J49" s="359"/>
      <c r="K49" s="359"/>
      <c r="L49" s="360"/>
      <c r="M49" s="466"/>
      <c r="N49" s="332"/>
      <c r="O49" s="332"/>
    </row>
    <row r="50" spans="1:15" hidden="1" outlineLevel="1">
      <c r="A50" s="331"/>
      <c r="B50" s="339" t="s">
        <v>1604</v>
      </c>
      <c r="C50" s="51"/>
      <c r="D50" s="458" t="s">
        <v>655</v>
      </c>
      <c r="E50" s="464"/>
      <c r="F50" s="357">
        <f>'App 6_Yr 1 Capex'!E183</f>
        <v>60961</v>
      </c>
      <c r="G50" s="359"/>
      <c r="H50" s="359"/>
      <c r="I50" s="359"/>
      <c r="J50" s="359"/>
      <c r="K50" s="359"/>
      <c r="L50" s="360"/>
      <c r="M50" s="466"/>
      <c r="N50" s="332"/>
      <c r="O50" s="332"/>
    </row>
    <row r="51" spans="1:15" hidden="1" outlineLevel="1">
      <c r="A51" s="331"/>
      <c r="B51" s="339" t="s">
        <v>654</v>
      </c>
      <c r="C51" s="51"/>
      <c r="D51" s="458" t="s">
        <v>654</v>
      </c>
      <c r="E51" s="464"/>
      <c r="F51" s="357">
        <f ca="1">'App 6_Yr 1 Capex'!E195</f>
        <v>11140</v>
      </c>
      <c r="G51" s="359"/>
      <c r="H51" s="359"/>
      <c r="I51" s="359"/>
      <c r="J51" s="359"/>
      <c r="K51" s="359"/>
      <c r="L51" s="360"/>
      <c r="M51" s="466"/>
      <c r="N51" s="332"/>
      <c r="O51" s="332"/>
    </row>
    <row r="52" spans="1:15" hidden="1" outlineLevel="1">
      <c r="A52" s="331"/>
      <c r="B52" s="339" t="s">
        <v>657</v>
      </c>
      <c r="C52" s="51"/>
      <c r="D52" s="458" t="s">
        <v>656</v>
      </c>
      <c r="E52" s="464"/>
      <c r="F52" s="357">
        <f ca="1">'App 6_Yr 1 Capex'!E202</f>
        <v>0</v>
      </c>
      <c r="G52" s="359"/>
      <c r="H52" s="359"/>
      <c r="I52" s="359"/>
      <c r="J52" s="359"/>
      <c r="K52" s="359"/>
      <c r="L52" s="360"/>
      <c r="M52" s="466"/>
      <c r="N52" s="332"/>
      <c r="O52" s="332"/>
    </row>
    <row r="53" spans="1:15" collapsed="1">
      <c r="A53" s="331"/>
      <c r="B53" s="339" t="s">
        <v>1573</v>
      </c>
      <c r="C53" s="51">
        <f t="shared" ref="C53:C69" si="32">SUM(G53:L53)</f>
        <v>1</v>
      </c>
      <c r="D53" s="458" t="s">
        <v>1577</v>
      </c>
      <c r="E53" s="610">
        <v>1000</v>
      </c>
      <c r="F53" s="357">
        <f t="shared" ref="F53:F69" si="33">C53*$E53</f>
        <v>1000</v>
      </c>
      <c r="G53" s="359">
        <v>0</v>
      </c>
      <c r="H53" s="359">
        <v>0</v>
      </c>
      <c r="I53" s="359">
        <v>1</v>
      </c>
      <c r="J53" s="359">
        <v>0</v>
      </c>
      <c r="K53" s="359">
        <v>0</v>
      </c>
      <c r="L53" s="360">
        <v>0</v>
      </c>
      <c r="M53" s="466"/>
      <c r="N53" s="332"/>
      <c r="O53" s="332"/>
    </row>
    <row r="54" spans="1:15">
      <c r="A54" s="331"/>
      <c r="B54" s="339" t="s">
        <v>1575</v>
      </c>
      <c r="C54" s="51">
        <f t="shared" si="32"/>
        <v>1</v>
      </c>
      <c r="D54" s="458" t="s">
        <v>1577</v>
      </c>
      <c r="E54" s="610">
        <v>100</v>
      </c>
      <c r="F54" s="357">
        <f t="shared" si="33"/>
        <v>100</v>
      </c>
      <c r="G54" s="359">
        <v>0</v>
      </c>
      <c r="H54" s="359">
        <v>0</v>
      </c>
      <c r="I54" s="359">
        <v>1</v>
      </c>
      <c r="J54" s="359">
        <v>0</v>
      </c>
      <c r="K54" s="359">
        <v>0</v>
      </c>
      <c r="L54" s="360">
        <v>0</v>
      </c>
      <c r="M54" s="466"/>
      <c r="N54" s="332"/>
      <c r="O54" s="332"/>
    </row>
    <row r="55" spans="1:15">
      <c r="A55" s="331"/>
      <c r="B55" s="339" t="s">
        <v>999</v>
      </c>
      <c r="C55" s="51">
        <f t="shared" si="32"/>
        <v>1</v>
      </c>
      <c r="D55" s="458" t="s">
        <v>1012</v>
      </c>
      <c r="E55" s="464">
        <v>1000</v>
      </c>
      <c r="F55" s="357">
        <f t="shared" si="33"/>
        <v>1000</v>
      </c>
      <c r="G55" s="359">
        <v>0</v>
      </c>
      <c r="H55" s="359">
        <v>0</v>
      </c>
      <c r="I55" s="359">
        <v>0</v>
      </c>
      <c r="J55" s="359">
        <v>0</v>
      </c>
      <c r="K55" s="359">
        <v>1</v>
      </c>
      <c r="L55" s="360">
        <v>0</v>
      </c>
      <c r="M55" s="466"/>
      <c r="N55" s="332"/>
      <c r="O55" s="332"/>
    </row>
    <row r="56" spans="1:15">
      <c r="A56" s="331"/>
      <c r="B56" s="339" t="s">
        <v>1001</v>
      </c>
      <c r="C56" s="51">
        <f t="shared" si="32"/>
        <v>4</v>
      </c>
      <c r="D56" s="458" t="s">
        <v>308</v>
      </c>
      <c r="E56" s="464">
        <v>500</v>
      </c>
      <c r="F56" s="357">
        <f t="shared" si="33"/>
        <v>2000</v>
      </c>
      <c r="G56" s="359">
        <v>1</v>
      </c>
      <c r="H56" s="359">
        <v>1</v>
      </c>
      <c r="I56" s="359">
        <v>0</v>
      </c>
      <c r="J56" s="359">
        <v>2</v>
      </c>
      <c r="K56" s="359">
        <v>0</v>
      </c>
      <c r="L56" s="360">
        <v>0</v>
      </c>
      <c r="M56" s="466"/>
      <c r="N56" s="332"/>
      <c r="O56" s="332"/>
    </row>
    <row r="57" spans="1:15">
      <c r="A57" s="331"/>
      <c r="B57" s="339" t="s">
        <v>1024</v>
      </c>
      <c r="C57" s="51">
        <f t="shared" si="32"/>
        <v>1</v>
      </c>
      <c r="D57" s="458" t="s">
        <v>1023</v>
      </c>
      <c r="E57" s="464">
        <f>(400000+500000)/20000</f>
        <v>45</v>
      </c>
      <c r="F57" s="357">
        <f t="shared" si="33"/>
        <v>45</v>
      </c>
      <c r="G57" s="359">
        <v>0</v>
      </c>
      <c r="H57" s="359">
        <v>0</v>
      </c>
      <c r="I57" s="359">
        <v>0</v>
      </c>
      <c r="J57" s="359">
        <v>1</v>
      </c>
      <c r="K57" s="359">
        <v>0</v>
      </c>
      <c r="L57" s="360">
        <v>0</v>
      </c>
      <c r="M57" s="470" t="s">
        <v>1027</v>
      </c>
      <c r="N57" s="332"/>
      <c r="O57" s="332"/>
    </row>
    <row r="58" spans="1:15">
      <c r="A58" s="331"/>
      <c r="B58" s="339" t="s">
        <v>1026</v>
      </c>
      <c r="C58" s="51">
        <f t="shared" si="32"/>
        <v>1</v>
      </c>
      <c r="D58" s="458" t="s">
        <v>1013</v>
      </c>
      <c r="E58" s="464">
        <v>80</v>
      </c>
      <c r="F58" s="357">
        <f t="shared" si="33"/>
        <v>80</v>
      </c>
      <c r="G58" s="359">
        <v>0</v>
      </c>
      <c r="H58" s="359">
        <v>0</v>
      </c>
      <c r="I58" s="359">
        <v>0</v>
      </c>
      <c r="J58" s="359">
        <v>0</v>
      </c>
      <c r="K58" s="359">
        <v>1</v>
      </c>
      <c r="L58" s="360">
        <v>0</v>
      </c>
      <c r="M58" s="466"/>
      <c r="N58" s="332"/>
      <c r="O58" s="332"/>
    </row>
    <row r="59" spans="1:15">
      <c r="A59" s="331"/>
      <c r="B59" s="339" t="s">
        <v>1000</v>
      </c>
      <c r="C59" s="51">
        <f t="shared" si="32"/>
        <v>100</v>
      </c>
      <c r="D59" s="458" t="s">
        <v>181</v>
      </c>
      <c r="E59" s="464">
        <v>15</v>
      </c>
      <c r="F59" s="357">
        <f t="shared" si="33"/>
        <v>1500</v>
      </c>
      <c r="G59" s="359">
        <v>0</v>
      </c>
      <c r="H59" s="359">
        <v>100</v>
      </c>
      <c r="I59" s="359">
        <v>0</v>
      </c>
      <c r="J59" s="359">
        <v>0</v>
      </c>
      <c r="K59" s="359">
        <v>0</v>
      </c>
      <c r="L59" s="360">
        <v>0</v>
      </c>
      <c r="M59" s="466"/>
      <c r="N59" s="332"/>
      <c r="O59" s="332"/>
    </row>
    <row r="60" spans="1:15">
      <c r="A60" s="331"/>
      <c r="B60" s="339" t="s">
        <v>1002</v>
      </c>
      <c r="C60" s="51">
        <f t="shared" si="32"/>
        <v>1</v>
      </c>
      <c r="D60" s="458" t="s">
        <v>1014</v>
      </c>
      <c r="E60" s="464">
        <v>200</v>
      </c>
      <c r="F60" s="357">
        <f t="shared" si="33"/>
        <v>200</v>
      </c>
      <c r="G60" s="359">
        <v>0</v>
      </c>
      <c r="H60" s="359">
        <v>0</v>
      </c>
      <c r="I60" s="359">
        <v>1</v>
      </c>
      <c r="J60" s="359">
        <v>0</v>
      </c>
      <c r="K60" s="359">
        <v>0</v>
      </c>
      <c r="L60" s="360">
        <v>0</v>
      </c>
      <c r="M60" s="466"/>
      <c r="N60" s="332"/>
      <c r="O60" s="332"/>
    </row>
    <row r="61" spans="1:15">
      <c r="A61" s="331"/>
      <c r="B61" s="339" t="s">
        <v>1003</v>
      </c>
      <c r="C61" s="51">
        <f t="shared" si="32"/>
        <v>3</v>
      </c>
      <c r="D61" s="458" t="s">
        <v>1015</v>
      </c>
      <c r="E61" s="464">
        <f>5000*2/20</f>
        <v>500</v>
      </c>
      <c r="F61" s="357">
        <f t="shared" si="33"/>
        <v>1500</v>
      </c>
      <c r="G61" s="359">
        <v>1</v>
      </c>
      <c r="H61" s="359">
        <v>1</v>
      </c>
      <c r="I61" s="359">
        <v>0</v>
      </c>
      <c r="J61" s="359">
        <v>1</v>
      </c>
      <c r="K61" s="359">
        <v>0</v>
      </c>
      <c r="L61" s="360">
        <v>0</v>
      </c>
      <c r="M61" s="466"/>
      <c r="N61" s="332"/>
      <c r="O61" s="332"/>
    </row>
    <row r="62" spans="1:15">
      <c r="A62" s="331"/>
      <c r="B62" s="339" t="s">
        <v>1004</v>
      </c>
      <c r="C62" s="51">
        <f t="shared" si="32"/>
        <v>4</v>
      </c>
      <c r="D62" s="458" t="s">
        <v>1016</v>
      </c>
      <c r="E62" s="464">
        <v>500</v>
      </c>
      <c r="F62" s="357">
        <f t="shared" si="33"/>
        <v>2000</v>
      </c>
      <c r="G62" s="359">
        <v>2</v>
      </c>
      <c r="H62" s="359">
        <v>0</v>
      </c>
      <c r="I62" s="359">
        <v>0</v>
      </c>
      <c r="J62" s="359">
        <v>2</v>
      </c>
      <c r="K62" s="359">
        <v>0</v>
      </c>
      <c r="L62" s="360">
        <v>0</v>
      </c>
      <c r="M62" s="466"/>
      <c r="N62" s="332"/>
      <c r="O62" s="332"/>
    </row>
    <row r="63" spans="1:15">
      <c r="A63" s="331"/>
      <c r="B63" s="339" t="s">
        <v>1007</v>
      </c>
      <c r="C63" s="51">
        <f t="shared" si="32"/>
        <v>4</v>
      </c>
      <c r="D63" s="458" t="s">
        <v>1016</v>
      </c>
      <c r="E63" s="464">
        <v>500</v>
      </c>
      <c r="F63" s="357">
        <f t="shared" si="33"/>
        <v>2000</v>
      </c>
      <c r="G63" s="359">
        <v>2</v>
      </c>
      <c r="H63" s="359">
        <v>0</v>
      </c>
      <c r="I63" s="359">
        <v>0</v>
      </c>
      <c r="J63" s="359">
        <v>2</v>
      </c>
      <c r="K63" s="359">
        <v>0</v>
      </c>
      <c r="L63" s="360">
        <v>0</v>
      </c>
      <c r="M63" s="466"/>
      <c r="N63" s="332"/>
      <c r="O63" s="332"/>
    </row>
    <row r="64" spans="1:15">
      <c r="A64" s="331"/>
      <c r="B64" s="339" t="s">
        <v>1017</v>
      </c>
      <c r="C64" s="51">
        <f t="shared" si="32"/>
        <v>10</v>
      </c>
      <c r="D64" s="458" t="s">
        <v>1025</v>
      </c>
      <c r="E64" s="464">
        <f>70*2</f>
        <v>140</v>
      </c>
      <c r="F64" s="357">
        <f t="shared" si="33"/>
        <v>1400</v>
      </c>
      <c r="G64" s="359">
        <v>5</v>
      </c>
      <c r="H64" s="359">
        <v>0</v>
      </c>
      <c r="I64" s="359">
        <v>0</v>
      </c>
      <c r="J64" s="359">
        <v>5</v>
      </c>
      <c r="K64" s="359">
        <v>0</v>
      </c>
      <c r="L64" s="360">
        <v>0</v>
      </c>
      <c r="M64" s="466"/>
      <c r="N64" s="332"/>
      <c r="O64" s="332"/>
    </row>
    <row r="65" spans="1:25">
      <c r="A65" s="331"/>
      <c r="B65" s="339" t="s">
        <v>1005</v>
      </c>
      <c r="C65" s="51">
        <f t="shared" si="32"/>
        <v>24</v>
      </c>
      <c r="D65" s="458" t="s">
        <v>1018</v>
      </c>
      <c r="E65" s="464">
        <v>10</v>
      </c>
      <c r="F65" s="357">
        <f t="shared" si="33"/>
        <v>240</v>
      </c>
      <c r="G65" s="359">
        <v>2</v>
      </c>
      <c r="H65" s="359">
        <v>2</v>
      </c>
      <c r="I65" s="359">
        <v>5</v>
      </c>
      <c r="J65" s="359">
        <v>5</v>
      </c>
      <c r="K65" s="359">
        <v>5</v>
      </c>
      <c r="L65" s="360">
        <v>5</v>
      </c>
      <c r="M65" s="466"/>
      <c r="N65" s="332"/>
      <c r="O65" s="332"/>
    </row>
    <row r="66" spans="1:25">
      <c r="A66" s="331"/>
      <c r="B66" s="339" t="s">
        <v>1006</v>
      </c>
      <c r="C66" s="51">
        <f t="shared" si="32"/>
        <v>12</v>
      </c>
      <c r="D66" s="458" t="s">
        <v>1011</v>
      </c>
      <c r="E66" s="464">
        <v>10</v>
      </c>
      <c r="F66" s="357">
        <f t="shared" si="33"/>
        <v>120</v>
      </c>
      <c r="G66" s="359">
        <v>3</v>
      </c>
      <c r="H66" s="359">
        <v>3</v>
      </c>
      <c r="I66" s="359">
        <v>3</v>
      </c>
      <c r="J66" s="359">
        <v>3</v>
      </c>
      <c r="K66" s="359">
        <v>0</v>
      </c>
      <c r="L66" s="360">
        <v>0</v>
      </c>
      <c r="M66" s="466"/>
      <c r="N66" s="332"/>
      <c r="O66" s="332"/>
    </row>
    <row r="67" spans="1:25">
      <c r="A67" s="331"/>
      <c r="B67" s="339" t="s">
        <v>1576</v>
      </c>
      <c r="C67" s="51">
        <f t="shared" si="32"/>
        <v>260</v>
      </c>
      <c r="D67" s="458" t="s">
        <v>1008</v>
      </c>
      <c r="E67" s="464">
        <v>3</v>
      </c>
      <c r="F67" s="357">
        <f t="shared" si="33"/>
        <v>780</v>
      </c>
      <c r="G67" s="359">
        <f>4*5*4</f>
        <v>80</v>
      </c>
      <c r="H67" s="359">
        <f>2*5*3</f>
        <v>30</v>
      </c>
      <c r="I67" s="359">
        <f>2*5*2</f>
        <v>20</v>
      </c>
      <c r="J67" s="359">
        <f>4*5*4</f>
        <v>80</v>
      </c>
      <c r="K67" s="359">
        <f>2*5*3</f>
        <v>30</v>
      </c>
      <c r="L67" s="360">
        <f>2*5*2</f>
        <v>20</v>
      </c>
      <c r="M67" s="466"/>
      <c r="N67" s="332"/>
      <c r="O67" s="332"/>
    </row>
    <row r="68" spans="1:25">
      <c r="A68" s="331"/>
      <c r="B68" s="339" t="s">
        <v>1009</v>
      </c>
      <c r="C68" s="51">
        <f t="shared" si="32"/>
        <v>4</v>
      </c>
      <c r="D68" s="458" t="s">
        <v>1019</v>
      </c>
      <c r="E68" s="464">
        <v>300</v>
      </c>
      <c r="F68" s="357">
        <f t="shared" si="33"/>
        <v>1200</v>
      </c>
      <c r="G68" s="359">
        <v>0</v>
      </c>
      <c r="H68" s="359">
        <f>'App 9_Yr1 Headcount'!K189+'App 9_Yr1 Headcount'!K195+'App 9_Yr1 Headcount'!K171+1</f>
        <v>4</v>
      </c>
      <c r="I68" s="359">
        <v>0</v>
      </c>
      <c r="J68" s="359">
        <v>0</v>
      </c>
      <c r="K68" s="359">
        <v>0</v>
      </c>
      <c r="L68" s="360">
        <v>0</v>
      </c>
      <c r="M68" s="466"/>
      <c r="N68" s="332"/>
      <c r="O68" s="332"/>
    </row>
    <row r="69" spans="1:25">
      <c r="A69" s="331"/>
      <c r="B69" s="339" t="s">
        <v>1010</v>
      </c>
      <c r="C69" s="51">
        <f t="shared" si="32"/>
        <v>1</v>
      </c>
      <c r="D69" s="458" t="s">
        <v>296</v>
      </c>
      <c r="E69" s="464">
        <v>750</v>
      </c>
      <c r="F69" s="357">
        <f t="shared" si="33"/>
        <v>750</v>
      </c>
      <c r="G69" s="359">
        <v>0</v>
      </c>
      <c r="H69" s="359">
        <v>0</v>
      </c>
      <c r="I69" s="359">
        <v>0</v>
      </c>
      <c r="J69" s="359">
        <v>0</v>
      </c>
      <c r="K69" s="359">
        <v>0</v>
      </c>
      <c r="L69" s="360">
        <v>1</v>
      </c>
      <c r="M69" s="466"/>
      <c r="N69" s="332"/>
      <c r="O69" s="332"/>
    </row>
    <row r="70" spans="1:25">
      <c r="A70" s="331"/>
      <c r="B70" s="339"/>
      <c r="C70" s="461"/>
      <c r="D70" s="458"/>
      <c r="E70" s="464"/>
      <c r="F70" s="369"/>
      <c r="G70" s="359"/>
      <c r="H70" s="359"/>
      <c r="I70" s="359"/>
      <c r="J70" s="359"/>
      <c r="K70" s="359"/>
      <c r="L70" s="360"/>
      <c r="M70" s="466"/>
      <c r="N70" s="332"/>
      <c r="O70" s="332"/>
    </row>
    <row r="71" spans="1:25">
      <c r="A71" s="331"/>
      <c r="B71" s="342" t="s">
        <v>239</v>
      </c>
      <c r="C71" s="462"/>
      <c r="D71" s="459"/>
      <c r="E71" s="457"/>
      <c r="F71" s="370">
        <f ca="1">SUM(F42:F69)</f>
        <v>4030206</v>
      </c>
      <c r="G71" s="345"/>
      <c r="H71" s="345"/>
      <c r="I71" s="345"/>
      <c r="J71" s="345"/>
      <c r="K71" s="345"/>
      <c r="L71" s="460"/>
      <c r="M71" s="471"/>
      <c r="N71" s="332"/>
      <c r="O71" s="332"/>
    </row>
    <row r="72" spans="1:25" ht="15">
      <c r="A72" s="331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468"/>
      <c r="N72" s="332"/>
      <c r="O72" s="332"/>
      <c r="S72" s="348"/>
      <c r="T72" s="349"/>
      <c r="U72" s="350"/>
      <c r="V72" s="351"/>
      <c r="W72" s="352"/>
      <c r="X72" s="352"/>
      <c r="Y72" s="348"/>
    </row>
    <row r="73" spans="1:25">
      <c r="A73" s="331"/>
      <c r="B73" s="314"/>
      <c r="C73" s="314"/>
      <c r="D73" s="353"/>
      <c r="E73" s="353"/>
      <c r="F73" s="353"/>
      <c r="G73" s="353"/>
      <c r="H73" s="353"/>
      <c r="I73" s="353"/>
      <c r="J73" s="353"/>
      <c r="K73" s="353"/>
      <c r="L73" s="353"/>
      <c r="M73" s="472"/>
      <c r="N73" s="353"/>
      <c r="O73" s="353"/>
      <c r="P73" s="353"/>
      <c r="Q73" s="353"/>
      <c r="R73" s="353"/>
      <c r="S73" s="353"/>
      <c r="T73" s="353"/>
      <c r="U73" s="353"/>
      <c r="V73" s="353"/>
      <c r="W73" s="353"/>
      <c r="X73" s="353"/>
      <c r="Y73" s="353"/>
    </row>
  </sheetData>
  <pageMargins left="0.7" right="0.7" top="0.75" bottom="0.75" header="0.3" footer="0.3"/>
  <pageSetup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B3:AA806"/>
  <sheetViews>
    <sheetView topLeftCell="L370" zoomScale="85" zoomScaleNormal="85" workbookViewId="0">
      <selection activeCell="O388" sqref="O388"/>
    </sheetView>
  </sheetViews>
  <sheetFormatPr defaultRowHeight="12.75"/>
  <cols>
    <col min="1" max="1" width="5" style="48" customWidth="1"/>
    <col min="2" max="2" width="15.5703125" style="48" customWidth="1"/>
    <col min="3" max="3" width="23.85546875" style="48" customWidth="1"/>
    <col min="4" max="4" width="29.42578125" style="48" customWidth="1"/>
    <col min="5" max="5" width="11.7109375" style="48" customWidth="1"/>
    <col min="6" max="6" width="16.42578125" style="48" bestFit="1" customWidth="1"/>
    <col min="7" max="8" width="11.42578125" style="48" bestFit="1" customWidth="1"/>
    <col min="9" max="9" width="9.42578125" style="48" customWidth="1"/>
    <col min="10" max="11" width="9.140625" style="48"/>
    <col min="12" max="12" width="24.140625" style="48" customWidth="1"/>
    <col min="13" max="13" width="14.85546875" style="48" customWidth="1"/>
    <col min="14" max="14" width="9.140625" style="48"/>
    <col min="15" max="15" width="44.42578125" style="48" customWidth="1"/>
    <col min="16" max="17" width="13.85546875" style="48" customWidth="1"/>
    <col min="18" max="19" width="13.85546875" style="51" customWidth="1"/>
    <col min="20" max="25" width="13.85546875" style="48" customWidth="1"/>
    <col min="26" max="16384" width="9.140625" style="48"/>
  </cols>
  <sheetData>
    <row r="3" spans="2:22">
      <c r="B3" s="48" t="s">
        <v>1564</v>
      </c>
      <c r="M3" s="48" t="s">
        <v>1029</v>
      </c>
    </row>
    <row r="4" spans="2:22" ht="15.75">
      <c r="B4" s="313" t="s">
        <v>891</v>
      </c>
      <c r="C4" s="313"/>
      <c r="D4" s="313"/>
      <c r="E4" s="313"/>
      <c r="F4" s="313"/>
      <c r="G4" s="313"/>
      <c r="H4" s="313"/>
      <c r="I4" s="313"/>
      <c r="J4" s="313"/>
      <c r="K4" s="313"/>
    </row>
    <row r="5" spans="2:22" ht="30">
      <c r="B5" s="148"/>
      <c r="C5" s="148"/>
      <c r="D5" s="323" t="s">
        <v>897</v>
      </c>
      <c r="E5" s="323" t="s">
        <v>898</v>
      </c>
      <c r="F5" s="324" t="s">
        <v>71</v>
      </c>
      <c r="G5" s="323"/>
      <c r="H5" s="323"/>
      <c r="I5" s="323"/>
      <c r="J5" s="323"/>
      <c r="K5" s="323"/>
      <c r="M5" s="294" t="s">
        <v>1561</v>
      </c>
    </row>
    <row r="6" spans="2:22">
      <c r="B6" s="314" t="s">
        <v>172</v>
      </c>
      <c r="D6" s="51">
        <f>COUNTIF($M$1:$M$391,$B6)</f>
        <v>20</v>
      </c>
      <c r="E6" s="51">
        <f>SUMIF($M$1:$M$930,B6,$Q$1:$Q$930)</f>
        <v>136</v>
      </c>
      <c r="F6" s="51">
        <f>SUMIF($M$1:$M$930,B6,$S$1:$S$930)</f>
        <v>136000</v>
      </c>
      <c r="G6" s="51"/>
      <c r="H6" s="51"/>
      <c r="I6" s="51"/>
      <c r="J6" s="51"/>
      <c r="K6" s="51"/>
      <c r="M6" s="315" t="s">
        <v>886</v>
      </c>
      <c r="N6" s="315" t="s">
        <v>892</v>
      </c>
      <c r="O6" s="315" t="s">
        <v>893</v>
      </c>
      <c r="P6" s="315" t="s">
        <v>101</v>
      </c>
      <c r="Q6" s="315" t="s">
        <v>894</v>
      </c>
      <c r="R6" s="316" t="s">
        <v>895</v>
      </c>
      <c r="S6" s="316" t="s">
        <v>896</v>
      </c>
      <c r="T6" s="315" t="s">
        <v>653</v>
      </c>
      <c r="U6" s="315"/>
      <c r="V6" s="315"/>
    </row>
    <row r="7" spans="2:22">
      <c r="B7" s="314" t="s">
        <v>374</v>
      </c>
      <c r="D7" s="51">
        <f>COUNTIF($M$1:$M$391,B7)</f>
        <v>41</v>
      </c>
      <c r="E7" s="51">
        <f>SUMIF($M$1:$M$930,B7,$Q$1:$Q$930)</f>
        <v>469</v>
      </c>
      <c r="F7" s="51">
        <f>SUMIF($M$1:$M$930,B7,$S$1:$S$930)</f>
        <v>469000</v>
      </c>
      <c r="G7" s="51"/>
      <c r="H7" s="51"/>
      <c r="I7" s="51"/>
      <c r="J7" s="51"/>
      <c r="K7" s="51"/>
      <c r="M7" s="48" t="s">
        <v>374</v>
      </c>
      <c r="N7" s="291">
        <v>1</v>
      </c>
      <c r="O7" s="289" t="s">
        <v>375</v>
      </c>
      <c r="P7" s="291" t="s">
        <v>376</v>
      </c>
      <c r="Q7" s="291">
        <v>12</v>
      </c>
      <c r="R7" s="320">
        <v>1000</v>
      </c>
      <c r="S7" s="317">
        <f>R7*Q7</f>
        <v>12000</v>
      </c>
      <c r="T7" s="291" t="s">
        <v>372</v>
      </c>
    </row>
    <row r="8" spans="2:22">
      <c r="B8" s="314" t="s">
        <v>889</v>
      </c>
      <c r="D8" s="51"/>
      <c r="E8" s="51"/>
      <c r="F8" s="51"/>
      <c r="G8" s="51"/>
      <c r="H8" s="51"/>
      <c r="I8" s="51"/>
      <c r="J8" s="51"/>
      <c r="K8" s="51"/>
      <c r="M8" s="48" t="s">
        <v>374</v>
      </c>
      <c r="N8" s="291">
        <v>2</v>
      </c>
      <c r="O8" s="289" t="s">
        <v>377</v>
      </c>
      <c r="P8" s="291" t="s">
        <v>376</v>
      </c>
      <c r="Q8" s="291">
        <v>5</v>
      </c>
      <c r="R8" s="320">
        <v>1000</v>
      </c>
      <c r="S8" s="317">
        <f t="shared" ref="S8:S72" si="0">R8*Q8</f>
        <v>5000</v>
      </c>
      <c r="T8" s="291" t="s">
        <v>372</v>
      </c>
    </row>
    <row r="9" spans="2:22">
      <c r="B9" s="48" t="s">
        <v>39</v>
      </c>
      <c r="D9" s="51">
        <f t="shared" ref="D9:D18" si="1">COUNTIF($M$1:$M$391,B9)</f>
        <v>49</v>
      </c>
      <c r="E9" s="51">
        <f t="shared" ref="E9:E18" si="2">SUMIF($M$1:$M$930,B9,$Q$1:$Q$930)</f>
        <v>316</v>
      </c>
      <c r="F9" s="51">
        <f t="shared" ref="F9:F18" si="3">SUMIF($M$1:$M$930,B9,$S$1:$S$930)</f>
        <v>316000</v>
      </c>
      <c r="G9" s="51"/>
      <c r="H9" s="51"/>
      <c r="I9" s="51"/>
      <c r="J9" s="51"/>
      <c r="K9" s="51"/>
      <c r="M9" s="48" t="s">
        <v>374</v>
      </c>
      <c r="N9" s="291">
        <v>3</v>
      </c>
      <c r="O9" s="289" t="s">
        <v>378</v>
      </c>
      <c r="P9" s="291" t="s">
        <v>376</v>
      </c>
      <c r="Q9" s="291">
        <v>12</v>
      </c>
      <c r="R9" s="320">
        <v>1000</v>
      </c>
      <c r="S9" s="317">
        <f t="shared" si="0"/>
        <v>12000</v>
      </c>
      <c r="T9" s="291" t="s">
        <v>372</v>
      </c>
    </row>
    <row r="10" spans="2:22">
      <c r="B10" s="48" t="s">
        <v>887</v>
      </c>
      <c r="D10" s="51">
        <f t="shared" si="1"/>
        <v>51</v>
      </c>
      <c r="E10" s="51">
        <f t="shared" si="2"/>
        <v>435</v>
      </c>
      <c r="F10" s="51">
        <f t="shared" si="3"/>
        <v>235200</v>
      </c>
      <c r="G10" s="51"/>
      <c r="H10" s="51"/>
      <c r="I10" s="51"/>
      <c r="J10" s="51"/>
      <c r="K10" s="51"/>
      <c r="M10" s="48" t="s">
        <v>374</v>
      </c>
      <c r="N10" s="291">
        <v>4</v>
      </c>
      <c r="O10" s="289" t="s">
        <v>379</v>
      </c>
      <c r="P10" s="291" t="s">
        <v>376</v>
      </c>
      <c r="Q10" s="291">
        <v>5</v>
      </c>
      <c r="R10" s="320">
        <v>1000</v>
      </c>
      <c r="S10" s="317">
        <f t="shared" si="0"/>
        <v>5000</v>
      </c>
      <c r="T10" s="291" t="s">
        <v>372</v>
      </c>
    </row>
    <row r="11" spans="2:22" ht="14.25">
      <c r="B11" s="48" t="s">
        <v>40</v>
      </c>
      <c r="D11" s="51">
        <f t="shared" si="1"/>
        <v>0</v>
      </c>
      <c r="E11" s="51">
        <f t="shared" si="2"/>
        <v>0</v>
      </c>
      <c r="F11" s="51">
        <f t="shared" si="3"/>
        <v>0</v>
      </c>
      <c r="G11" s="51"/>
      <c r="H11" s="51"/>
      <c r="I11" s="51"/>
      <c r="J11" s="51"/>
      <c r="K11" s="51"/>
      <c r="M11" s="48" t="s">
        <v>374</v>
      </c>
      <c r="N11" s="291">
        <v>5</v>
      </c>
      <c r="O11" s="289" t="s">
        <v>380</v>
      </c>
      <c r="P11" s="291" t="s">
        <v>376</v>
      </c>
      <c r="Q11" s="291">
        <v>24</v>
      </c>
      <c r="R11" s="320">
        <v>1000</v>
      </c>
      <c r="S11" s="317">
        <f t="shared" si="0"/>
        <v>24000</v>
      </c>
      <c r="T11" s="291" t="s">
        <v>372</v>
      </c>
    </row>
    <row r="12" spans="2:22">
      <c r="B12" s="48" t="s">
        <v>38</v>
      </c>
      <c r="D12" s="51">
        <f t="shared" si="1"/>
        <v>61</v>
      </c>
      <c r="E12" s="51">
        <f t="shared" si="2"/>
        <v>277</v>
      </c>
      <c r="F12" s="51">
        <f t="shared" si="3"/>
        <v>277000</v>
      </c>
      <c r="G12" s="51"/>
      <c r="H12" s="51"/>
      <c r="I12" s="51"/>
      <c r="J12" s="51"/>
      <c r="K12" s="51"/>
      <c r="M12" s="48" t="s">
        <v>374</v>
      </c>
      <c r="N12" s="291">
        <v>6</v>
      </c>
      <c r="O12" s="289" t="s">
        <v>381</v>
      </c>
      <c r="P12" s="291" t="s">
        <v>376</v>
      </c>
      <c r="Q12" s="291">
        <v>12</v>
      </c>
      <c r="R12" s="320">
        <v>1000</v>
      </c>
      <c r="S12" s="317">
        <f t="shared" si="0"/>
        <v>12000</v>
      </c>
      <c r="T12" s="291" t="s">
        <v>654</v>
      </c>
    </row>
    <row r="13" spans="2:22">
      <c r="B13" s="48" t="s">
        <v>42</v>
      </c>
      <c r="D13" s="51">
        <f t="shared" si="1"/>
        <v>0</v>
      </c>
      <c r="E13" s="51">
        <f t="shared" si="2"/>
        <v>0</v>
      </c>
      <c r="F13" s="51">
        <f t="shared" si="3"/>
        <v>0</v>
      </c>
      <c r="G13" s="51"/>
      <c r="H13" s="51"/>
      <c r="I13" s="51"/>
      <c r="J13" s="51"/>
      <c r="K13" s="51"/>
      <c r="M13" s="48" t="s">
        <v>374</v>
      </c>
      <c r="N13" s="291">
        <v>7</v>
      </c>
      <c r="O13" s="289" t="s">
        <v>382</v>
      </c>
      <c r="P13" s="291" t="s">
        <v>376</v>
      </c>
      <c r="Q13" s="291">
        <v>5</v>
      </c>
      <c r="R13" s="320">
        <v>1000</v>
      </c>
      <c r="S13" s="317">
        <f t="shared" si="0"/>
        <v>5000</v>
      </c>
      <c r="T13" s="291" t="s">
        <v>654</v>
      </c>
    </row>
    <row r="14" spans="2:22">
      <c r="B14" s="48" t="s">
        <v>56</v>
      </c>
      <c r="D14" s="51">
        <f t="shared" si="1"/>
        <v>31</v>
      </c>
      <c r="E14" s="51">
        <f t="shared" si="2"/>
        <v>87</v>
      </c>
      <c r="F14" s="51">
        <f t="shared" si="3"/>
        <v>87000</v>
      </c>
      <c r="G14" s="51"/>
      <c r="H14" s="51"/>
      <c r="I14" s="51"/>
      <c r="J14" s="51"/>
      <c r="K14" s="51"/>
      <c r="M14" s="48" t="s">
        <v>374</v>
      </c>
      <c r="N14" s="291">
        <v>8</v>
      </c>
      <c r="O14" s="289" t="s">
        <v>383</v>
      </c>
      <c r="P14" s="291" t="s">
        <v>376</v>
      </c>
      <c r="Q14" s="291">
        <v>5</v>
      </c>
      <c r="R14" s="320">
        <v>1000</v>
      </c>
      <c r="S14" s="317">
        <f t="shared" si="0"/>
        <v>5000</v>
      </c>
      <c r="T14" s="291" t="s">
        <v>654</v>
      </c>
    </row>
    <row r="15" spans="2:22">
      <c r="B15" s="48" t="s">
        <v>58</v>
      </c>
      <c r="D15" s="51">
        <f t="shared" si="1"/>
        <v>0</v>
      </c>
      <c r="E15" s="51">
        <f t="shared" si="2"/>
        <v>0</v>
      </c>
      <c r="F15" s="51">
        <f t="shared" si="3"/>
        <v>0</v>
      </c>
      <c r="G15" s="51"/>
      <c r="H15" s="51"/>
      <c r="I15" s="51"/>
      <c r="J15" s="51"/>
      <c r="K15" s="51"/>
      <c r="M15" s="48" t="s">
        <v>374</v>
      </c>
      <c r="N15" s="291">
        <v>9</v>
      </c>
      <c r="O15" s="289" t="s">
        <v>384</v>
      </c>
      <c r="P15" s="291" t="s">
        <v>376</v>
      </c>
      <c r="Q15" s="291">
        <v>2</v>
      </c>
      <c r="R15" s="320">
        <v>1000</v>
      </c>
      <c r="S15" s="317">
        <f t="shared" si="0"/>
        <v>2000</v>
      </c>
      <c r="T15" s="291" t="s">
        <v>654</v>
      </c>
    </row>
    <row r="16" spans="2:22">
      <c r="B16" s="48" t="s">
        <v>59</v>
      </c>
      <c r="D16" s="51">
        <f t="shared" si="1"/>
        <v>0</v>
      </c>
      <c r="E16" s="51">
        <f t="shared" si="2"/>
        <v>0</v>
      </c>
      <c r="F16" s="51">
        <f t="shared" si="3"/>
        <v>0</v>
      </c>
      <c r="G16" s="51"/>
      <c r="H16" s="51"/>
      <c r="I16" s="51"/>
      <c r="J16" s="51"/>
      <c r="K16" s="51"/>
      <c r="M16" s="48" t="s">
        <v>374</v>
      </c>
      <c r="N16" s="291">
        <v>10</v>
      </c>
      <c r="O16" s="289" t="s">
        <v>385</v>
      </c>
      <c r="P16" s="291" t="s">
        <v>376</v>
      </c>
      <c r="Q16" s="291">
        <v>12</v>
      </c>
      <c r="R16" s="320">
        <v>1000</v>
      </c>
      <c r="S16" s="317">
        <f t="shared" si="0"/>
        <v>12000</v>
      </c>
      <c r="T16" s="291" t="s">
        <v>654</v>
      </c>
    </row>
    <row r="17" spans="2:20">
      <c r="B17" s="48" t="s">
        <v>60</v>
      </c>
      <c r="D17" s="51">
        <f t="shared" si="1"/>
        <v>0</v>
      </c>
      <c r="E17" s="51">
        <f t="shared" si="2"/>
        <v>0</v>
      </c>
      <c r="F17" s="51">
        <f t="shared" si="3"/>
        <v>0</v>
      </c>
      <c r="G17" s="51"/>
      <c r="H17" s="51"/>
      <c r="I17" s="51"/>
      <c r="J17" s="51"/>
      <c r="K17" s="51"/>
      <c r="M17" s="48" t="s">
        <v>374</v>
      </c>
      <c r="N17" s="291">
        <v>11</v>
      </c>
      <c r="O17" s="289" t="s">
        <v>386</v>
      </c>
      <c r="P17" s="291" t="s">
        <v>376</v>
      </c>
      <c r="Q17" s="291">
        <v>4</v>
      </c>
      <c r="R17" s="320">
        <v>1000</v>
      </c>
      <c r="S17" s="317">
        <f t="shared" si="0"/>
        <v>4000</v>
      </c>
      <c r="T17" s="291" t="s">
        <v>654</v>
      </c>
    </row>
    <row r="18" spans="2:20">
      <c r="B18" s="48" t="s">
        <v>61</v>
      </c>
      <c r="D18" s="34">
        <f t="shared" si="1"/>
        <v>0</v>
      </c>
      <c r="E18" s="34">
        <f t="shared" si="2"/>
        <v>0</v>
      </c>
      <c r="F18" s="34">
        <f t="shared" si="3"/>
        <v>0</v>
      </c>
      <c r="G18" s="34"/>
      <c r="H18" s="34"/>
      <c r="I18" s="51"/>
      <c r="J18" s="51"/>
      <c r="K18" s="51"/>
      <c r="M18" s="48" t="s">
        <v>374</v>
      </c>
      <c r="N18" s="291">
        <v>12</v>
      </c>
      <c r="O18" s="289" t="s">
        <v>387</v>
      </c>
      <c r="P18" s="291" t="s">
        <v>376</v>
      </c>
      <c r="Q18" s="291">
        <v>2</v>
      </c>
      <c r="R18" s="320">
        <v>1000</v>
      </c>
      <c r="S18" s="317">
        <f t="shared" si="0"/>
        <v>2000</v>
      </c>
      <c r="T18" s="291" t="s">
        <v>372</v>
      </c>
    </row>
    <row r="19" spans="2:20">
      <c r="D19" s="322">
        <f>SUM(D9:D18)</f>
        <v>192</v>
      </c>
      <c r="E19" s="322">
        <f>SUM(E9:E18)</f>
        <v>1115</v>
      </c>
      <c r="F19" s="322">
        <f>SUM(F9:F18)</f>
        <v>915200</v>
      </c>
      <c r="G19" s="322"/>
      <c r="H19" s="322"/>
      <c r="I19" s="51"/>
      <c r="J19" s="51"/>
      <c r="K19" s="51"/>
      <c r="M19" s="48" t="s">
        <v>374</v>
      </c>
      <c r="N19" s="291">
        <v>13</v>
      </c>
      <c r="O19" s="289" t="s">
        <v>388</v>
      </c>
      <c r="P19" s="291" t="s">
        <v>376</v>
      </c>
      <c r="Q19" s="291">
        <v>12</v>
      </c>
      <c r="R19" s="320">
        <v>1000</v>
      </c>
      <c r="S19" s="317">
        <f t="shared" si="0"/>
        <v>12000</v>
      </c>
      <c r="T19" s="291" t="s">
        <v>372</v>
      </c>
    </row>
    <row r="20" spans="2:20">
      <c r="B20" s="314" t="s">
        <v>890</v>
      </c>
      <c r="D20" s="51"/>
      <c r="E20" s="51"/>
      <c r="F20" s="51"/>
      <c r="G20" s="51"/>
      <c r="H20" s="51"/>
      <c r="I20" s="51"/>
      <c r="J20" s="51"/>
      <c r="K20" s="51"/>
      <c r="M20" s="48" t="s">
        <v>374</v>
      </c>
      <c r="N20" s="291">
        <v>14</v>
      </c>
      <c r="O20" s="289" t="s">
        <v>389</v>
      </c>
      <c r="P20" s="291" t="s">
        <v>376</v>
      </c>
      <c r="Q20" s="291">
        <v>2</v>
      </c>
      <c r="R20" s="320">
        <v>1000</v>
      </c>
      <c r="S20" s="317">
        <f t="shared" si="0"/>
        <v>2000</v>
      </c>
      <c r="T20" s="291" t="s">
        <v>654</v>
      </c>
    </row>
    <row r="21" spans="2:20" ht="14.25">
      <c r="B21" s="48" t="s">
        <v>23</v>
      </c>
      <c r="D21" s="51">
        <f t="shared" ref="D21:D26" si="4">COUNTIF($M$1:$M$391,B21)</f>
        <v>29</v>
      </c>
      <c r="E21" s="51">
        <f t="shared" ref="E21:E26" si="5">SUMIF($M$1:$M$930,B21,$Q$1:$Q$930)</f>
        <v>158</v>
      </c>
      <c r="F21" s="51">
        <f t="shared" ref="F21:F26" si="6">SUMIF($M$1:$M$930,B21,$S$1:$S$930)</f>
        <v>158000</v>
      </c>
      <c r="G21" s="51"/>
      <c r="H21" s="51"/>
      <c r="I21" s="51"/>
      <c r="J21" s="51"/>
      <c r="K21" s="51"/>
      <c r="M21" s="48" t="s">
        <v>374</v>
      </c>
      <c r="N21" s="291">
        <v>15</v>
      </c>
      <c r="O21" s="289" t="s">
        <v>390</v>
      </c>
      <c r="P21" s="291" t="s">
        <v>376</v>
      </c>
      <c r="Q21" s="291">
        <v>3</v>
      </c>
      <c r="R21" s="320">
        <v>1000</v>
      </c>
      <c r="S21" s="317">
        <f t="shared" si="0"/>
        <v>3000</v>
      </c>
      <c r="T21" s="291" t="s">
        <v>654</v>
      </c>
    </row>
    <row r="22" spans="2:20">
      <c r="B22" s="48" t="s">
        <v>26</v>
      </c>
      <c r="D22" s="51">
        <f t="shared" si="4"/>
        <v>3</v>
      </c>
      <c r="E22" s="51">
        <f t="shared" si="5"/>
        <v>7</v>
      </c>
      <c r="F22" s="51">
        <f t="shared" si="6"/>
        <v>7000</v>
      </c>
      <c r="G22" s="51"/>
      <c r="H22" s="51"/>
      <c r="I22" s="51"/>
      <c r="J22" s="51"/>
      <c r="K22" s="51"/>
      <c r="M22" s="48" t="s">
        <v>374</v>
      </c>
      <c r="N22" s="291">
        <v>16</v>
      </c>
      <c r="O22" s="289" t="s">
        <v>391</v>
      </c>
      <c r="P22" s="291" t="s">
        <v>376</v>
      </c>
      <c r="Q22" s="291">
        <v>4</v>
      </c>
      <c r="R22" s="320">
        <v>1000</v>
      </c>
      <c r="S22" s="317">
        <f t="shared" si="0"/>
        <v>4000</v>
      </c>
      <c r="T22" s="291" t="s">
        <v>654</v>
      </c>
    </row>
    <row r="23" spans="2:20">
      <c r="B23" s="48" t="s">
        <v>64</v>
      </c>
      <c r="D23" s="51">
        <f t="shared" si="4"/>
        <v>25</v>
      </c>
      <c r="E23" s="51">
        <f t="shared" si="5"/>
        <v>289</v>
      </c>
      <c r="F23" s="51">
        <f t="shared" si="6"/>
        <v>289000</v>
      </c>
      <c r="G23" s="51"/>
      <c r="H23" s="51"/>
      <c r="I23" s="51"/>
      <c r="J23" s="51"/>
      <c r="K23" s="51"/>
      <c r="M23" s="48" t="s">
        <v>374</v>
      </c>
      <c r="N23" s="291">
        <v>17</v>
      </c>
      <c r="O23" s="289" t="s">
        <v>392</v>
      </c>
      <c r="P23" s="291" t="s">
        <v>376</v>
      </c>
      <c r="Q23" s="291">
        <v>2</v>
      </c>
      <c r="R23" s="320">
        <v>1000</v>
      </c>
      <c r="S23" s="317">
        <f t="shared" si="0"/>
        <v>2000</v>
      </c>
      <c r="T23" s="291" t="s">
        <v>654</v>
      </c>
    </row>
    <row r="24" spans="2:20">
      <c r="B24" s="48" t="s">
        <v>52</v>
      </c>
      <c r="D24" s="51">
        <f t="shared" si="4"/>
        <v>0</v>
      </c>
      <c r="E24" s="51">
        <f t="shared" si="5"/>
        <v>0</v>
      </c>
      <c r="F24" s="51">
        <f t="shared" si="6"/>
        <v>0</v>
      </c>
      <c r="G24" s="51"/>
      <c r="H24" s="51"/>
      <c r="I24" s="51"/>
      <c r="J24" s="51"/>
      <c r="K24" s="51"/>
      <c r="M24" s="48" t="s">
        <v>374</v>
      </c>
      <c r="N24" s="291">
        <v>18</v>
      </c>
      <c r="O24" s="289" t="s">
        <v>393</v>
      </c>
      <c r="P24" s="291" t="s">
        <v>376</v>
      </c>
      <c r="Q24" s="291">
        <v>4</v>
      </c>
      <c r="R24" s="320">
        <v>1000</v>
      </c>
      <c r="S24" s="317">
        <f t="shared" si="0"/>
        <v>4000</v>
      </c>
      <c r="T24" s="291" t="s">
        <v>654</v>
      </c>
    </row>
    <row r="25" spans="2:20">
      <c r="B25" s="48" t="s">
        <v>51</v>
      </c>
      <c r="D25" s="51">
        <f t="shared" si="4"/>
        <v>1</v>
      </c>
      <c r="E25" s="51">
        <f t="shared" si="5"/>
        <v>1</v>
      </c>
      <c r="F25" s="51">
        <f t="shared" si="6"/>
        <v>1000</v>
      </c>
      <c r="G25" s="51"/>
      <c r="H25" s="51"/>
      <c r="I25" s="51"/>
      <c r="J25" s="51"/>
      <c r="K25" s="51"/>
      <c r="M25" s="48" t="s">
        <v>374</v>
      </c>
      <c r="N25" s="291">
        <v>19</v>
      </c>
      <c r="O25" s="289" t="s">
        <v>394</v>
      </c>
      <c r="P25" s="291" t="s">
        <v>376</v>
      </c>
      <c r="Q25" s="291">
        <v>6</v>
      </c>
      <c r="R25" s="320">
        <v>1000</v>
      </c>
      <c r="S25" s="317">
        <f t="shared" si="0"/>
        <v>6000</v>
      </c>
      <c r="T25" s="291" t="s">
        <v>654</v>
      </c>
    </row>
    <row r="26" spans="2:20">
      <c r="B26" s="48" t="s">
        <v>53</v>
      </c>
      <c r="D26" s="34">
        <f t="shared" si="4"/>
        <v>0</v>
      </c>
      <c r="E26" s="34">
        <f t="shared" si="5"/>
        <v>0</v>
      </c>
      <c r="F26" s="34">
        <f t="shared" si="6"/>
        <v>0</v>
      </c>
      <c r="G26" s="34"/>
      <c r="H26" s="34"/>
      <c r="I26" s="51"/>
      <c r="J26" s="51"/>
      <c r="K26" s="51"/>
      <c r="M26" s="48" t="s">
        <v>374</v>
      </c>
      <c r="N26" s="291">
        <v>20</v>
      </c>
      <c r="O26" s="289" t="s">
        <v>395</v>
      </c>
      <c r="P26" s="291" t="s">
        <v>376</v>
      </c>
      <c r="Q26" s="291">
        <v>12</v>
      </c>
      <c r="R26" s="320">
        <v>1000</v>
      </c>
      <c r="S26" s="317">
        <f t="shared" si="0"/>
        <v>12000</v>
      </c>
      <c r="T26" s="291" t="s">
        <v>654</v>
      </c>
    </row>
    <row r="27" spans="2:20">
      <c r="D27" s="322">
        <f>SUM(D21:D26)</f>
        <v>58</v>
      </c>
      <c r="E27" s="322">
        <f t="shared" ref="E27:F27" si="7">SUM(E21:E26)</f>
        <v>455</v>
      </c>
      <c r="F27" s="322">
        <f t="shared" si="7"/>
        <v>455000</v>
      </c>
      <c r="G27" s="322"/>
      <c r="H27" s="322"/>
      <c r="I27" s="51"/>
      <c r="J27" s="51"/>
      <c r="K27" s="51"/>
      <c r="M27" s="48" t="s">
        <v>374</v>
      </c>
      <c r="N27" s="291">
        <v>21</v>
      </c>
      <c r="O27" s="289" t="s">
        <v>396</v>
      </c>
      <c r="P27" s="291" t="s">
        <v>376</v>
      </c>
      <c r="Q27" s="291">
        <v>30</v>
      </c>
      <c r="R27" s="320">
        <v>1000</v>
      </c>
      <c r="S27" s="317">
        <f t="shared" si="0"/>
        <v>30000</v>
      </c>
      <c r="T27" s="291" t="s">
        <v>654</v>
      </c>
    </row>
    <row r="28" spans="2:20">
      <c r="D28" s="322"/>
      <c r="E28" s="322"/>
      <c r="F28" s="322"/>
      <c r="G28" s="322"/>
      <c r="H28" s="322"/>
      <c r="I28" s="51"/>
      <c r="J28" s="51"/>
      <c r="K28" s="51"/>
      <c r="N28" s="291"/>
      <c r="O28" s="289"/>
      <c r="P28" s="291"/>
      <c r="Q28" s="291"/>
      <c r="R28" s="320"/>
      <c r="S28" s="317"/>
      <c r="T28" s="291"/>
    </row>
    <row r="29" spans="2:20">
      <c r="B29" s="48" t="s">
        <v>888</v>
      </c>
      <c r="D29" s="51">
        <f>COUNTIF($M$1:$M$391,B29)</f>
        <v>56</v>
      </c>
      <c r="E29" s="51">
        <f>SUMIF($M$1:$M$930,B29,$Q$1:$Q$930)</f>
        <v>3232</v>
      </c>
      <c r="F29" s="51">
        <f>SUMIF($M$1:$M$930,B29,$S$1:$S$930)</f>
        <v>3232000</v>
      </c>
      <c r="G29" s="51"/>
      <c r="H29" s="51"/>
      <c r="I29" s="51"/>
      <c r="J29" s="51"/>
      <c r="K29" s="51"/>
      <c r="M29" s="48" t="s">
        <v>374</v>
      </c>
      <c r="N29" s="291">
        <v>22</v>
      </c>
      <c r="O29" s="289" t="s">
        <v>397</v>
      </c>
      <c r="P29" s="291" t="s">
        <v>376</v>
      </c>
      <c r="Q29" s="291">
        <v>20</v>
      </c>
      <c r="R29" s="320">
        <v>1000</v>
      </c>
      <c r="S29" s="317">
        <f t="shared" si="0"/>
        <v>20000</v>
      </c>
      <c r="T29" s="291" t="s">
        <v>654</v>
      </c>
    </row>
    <row r="30" spans="2:20">
      <c r="D30" s="51"/>
      <c r="E30" s="51"/>
      <c r="F30" s="51"/>
      <c r="G30" s="51"/>
      <c r="H30" s="51"/>
      <c r="I30" s="51"/>
      <c r="J30" s="51"/>
      <c r="K30" s="51"/>
      <c r="M30" s="48" t="s">
        <v>374</v>
      </c>
      <c r="N30" s="291">
        <v>23</v>
      </c>
      <c r="O30" s="289" t="s">
        <v>398</v>
      </c>
      <c r="P30" s="291" t="s">
        <v>376</v>
      </c>
      <c r="Q30" s="291">
        <v>12</v>
      </c>
      <c r="R30" s="320">
        <v>1000</v>
      </c>
      <c r="S30" s="317">
        <f t="shared" si="0"/>
        <v>12000</v>
      </c>
      <c r="T30" s="291" t="s">
        <v>654</v>
      </c>
    </row>
    <row r="31" spans="2:20">
      <c r="D31" s="321">
        <f>D6+D7+D19+D27+D29</f>
        <v>367</v>
      </c>
      <c r="E31" s="321">
        <f>E6+E7+E19+E27+E29</f>
        <v>5407</v>
      </c>
      <c r="F31" s="321">
        <f>F6+F7+F19+F27+F29</f>
        <v>5207200</v>
      </c>
      <c r="M31" s="48" t="s">
        <v>374</v>
      </c>
      <c r="N31" s="291">
        <v>24</v>
      </c>
      <c r="O31" s="289" t="s">
        <v>399</v>
      </c>
      <c r="P31" s="291" t="s">
        <v>376</v>
      </c>
      <c r="Q31" s="291">
        <v>3</v>
      </c>
      <c r="R31" s="320">
        <v>1000</v>
      </c>
      <c r="S31" s="317">
        <f t="shared" si="0"/>
        <v>3000</v>
      </c>
      <c r="T31" s="291" t="s">
        <v>654</v>
      </c>
    </row>
    <row r="32" spans="2:20">
      <c r="F32" s="51" t="e">
        <f>#REF!</f>
        <v>#REF!</v>
      </c>
      <c r="M32" s="48" t="s">
        <v>374</v>
      </c>
      <c r="N32" s="291">
        <v>25</v>
      </c>
      <c r="O32" s="289" t="s">
        <v>400</v>
      </c>
      <c r="P32" s="291" t="s">
        <v>401</v>
      </c>
      <c r="Q32" s="291">
        <v>1</v>
      </c>
      <c r="R32" s="320">
        <v>1000</v>
      </c>
      <c r="S32" s="317">
        <f t="shared" si="0"/>
        <v>1000</v>
      </c>
      <c r="T32" s="291" t="s">
        <v>654</v>
      </c>
    </row>
    <row r="33" spans="2:20">
      <c r="F33" s="51"/>
      <c r="M33" s="48" t="s">
        <v>374</v>
      </c>
      <c r="N33" s="291">
        <v>26</v>
      </c>
      <c r="O33" s="289" t="s">
        <v>402</v>
      </c>
      <c r="P33" s="291" t="s">
        <v>401</v>
      </c>
      <c r="Q33" s="291">
        <v>1</v>
      </c>
      <c r="R33" s="320">
        <v>1000</v>
      </c>
      <c r="S33" s="317">
        <f t="shared" si="0"/>
        <v>1000</v>
      </c>
      <c r="T33" s="291" t="s">
        <v>654</v>
      </c>
    </row>
    <row r="34" spans="2:20">
      <c r="B34" s="314" t="s">
        <v>1121</v>
      </c>
      <c r="D34" s="48">
        <f>COUNTIF($M$1:$M$514,B34)</f>
        <v>64</v>
      </c>
      <c r="E34" s="51">
        <f>SUMIF($M$1:$M$930,B34,$Q$1:$Q$930)</f>
        <v>368</v>
      </c>
      <c r="F34" s="51">
        <f>SUMIF($M$1:$M$930,B34,$S$1:$S$930)</f>
        <v>368000</v>
      </c>
      <c r="M34" s="48" t="s">
        <v>374</v>
      </c>
      <c r="N34" s="291">
        <v>27</v>
      </c>
      <c r="O34" s="289" t="s">
        <v>403</v>
      </c>
      <c r="P34" s="291" t="s">
        <v>376</v>
      </c>
      <c r="Q34" s="291">
        <v>2</v>
      </c>
      <c r="R34" s="320">
        <v>1000</v>
      </c>
      <c r="S34" s="317">
        <f t="shared" si="0"/>
        <v>2000</v>
      </c>
      <c r="T34" s="291" t="s">
        <v>654</v>
      </c>
    </row>
    <row r="35" spans="2:20">
      <c r="M35" s="48" t="s">
        <v>374</v>
      </c>
      <c r="N35" s="291">
        <v>28</v>
      </c>
      <c r="O35" s="289" t="s">
        <v>404</v>
      </c>
      <c r="P35" s="291" t="s">
        <v>376</v>
      </c>
      <c r="Q35" s="291">
        <v>1</v>
      </c>
      <c r="R35" s="320">
        <v>1000</v>
      </c>
      <c r="S35" s="317">
        <f t="shared" si="0"/>
        <v>1000</v>
      </c>
      <c r="T35" s="291" t="s">
        <v>372</v>
      </c>
    </row>
    <row r="36" spans="2:20">
      <c r="B36" s="314" t="s">
        <v>1122</v>
      </c>
      <c r="C36" s="48" t="s">
        <v>1124</v>
      </c>
      <c r="D36" s="48">
        <f>COUNTIF($M$1:$M$391,B21)</f>
        <v>29</v>
      </c>
      <c r="E36" s="51">
        <f>SUMIF($M$1:$M$930,B36,$Q$1:$Q$930)</f>
        <v>2537</v>
      </c>
      <c r="F36" s="51">
        <f>SUMIF($M$1:$M$930,B36,$S$1:$S$930)</f>
        <v>2537000</v>
      </c>
      <c r="M36" s="48" t="s">
        <v>374</v>
      </c>
      <c r="N36" s="291">
        <v>29</v>
      </c>
      <c r="O36" s="289" t="s">
        <v>405</v>
      </c>
      <c r="P36" s="291" t="s">
        <v>406</v>
      </c>
      <c r="Q36" s="291">
        <v>2</v>
      </c>
      <c r="R36" s="320">
        <v>1000</v>
      </c>
      <c r="S36" s="317">
        <f t="shared" si="0"/>
        <v>2000</v>
      </c>
      <c r="T36" s="291" t="s">
        <v>372</v>
      </c>
    </row>
    <row r="37" spans="2:20">
      <c r="B37" s="314"/>
      <c r="M37" s="48" t="s">
        <v>374</v>
      </c>
      <c r="N37" s="291">
        <v>30</v>
      </c>
      <c r="O37" s="289" t="s">
        <v>407</v>
      </c>
      <c r="P37" s="291" t="s">
        <v>406</v>
      </c>
      <c r="Q37" s="291">
        <v>12</v>
      </c>
      <c r="R37" s="320">
        <v>1000</v>
      </c>
      <c r="S37" s="317">
        <f t="shared" si="0"/>
        <v>12000</v>
      </c>
      <c r="T37" s="291" t="s">
        <v>372</v>
      </c>
    </row>
    <row r="38" spans="2:20">
      <c r="B38" s="314" t="s">
        <v>1123</v>
      </c>
      <c r="C38" s="48" t="s">
        <v>1124</v>
      </c>
      <c r="D38" s="48">
        <f>COUNTIF($M$1:$M$806,B21)</f>
        <v>29</v>
      </c>
      <c r="E38" s="51">
        <f>SUMIF($M$1:$M$806,B38,$Q$1:$Q$806)</f>
        <v>3205</v>
      </c>
      <c r="F38" s="51">
        <f>SUMIF($M$1:$M$806,B38,$S$1:$S$806)</f>
        <v>3205000</v>
      </c>
      <c r="M38" s="48" t="s">
        <v>374</v>
      </c>
      <c r="N38" s="291">
        <v>31</v>
      </c>
      <c r="O38" s="289" t="s">
        <v>408</v>
      </c>
      <c r="P38" s="291" t="s">
        <v>376</v>
      </c>
      <c r="Q38" s="291">
        <v>12</v>
      </c>
      <c r="R38" s="320">
        <v>1000</v>
      </c>
      <c r="S38" s="317">
        <f t="shared" si="0"/>
        <v>12000</v>
      </c>
      <c r="T38" s="291" t="s">
        <v>372</v>
      </c>
    </row>
    <row r="39" spans="2:20">
      <c r="M39" s="48" t="s">
        <v>374</v>
      </c>
      <c r="N39" s="291">
        <v>32</v>
      </c>
      <c r="O39" s="289" t="s">
        <v>409</v>
      </c>
      <c r="P39" s="291" t="s">
        <v>376</v>
      </c>
      <c r="Q39" s="291">
        <v>200</v>
      </c>
      <c r="R39" s="320">
        <v>1000</v>
      </c>
      <c r="S39" s="317">
        <f t="shared" si="0"/>
        <v>200000</v>
      </c>
      <c r="T39" s="291" t="s">
        <v>372</v>
      </c>
    </row>
    <row r="40" spans="2:20">
      <c r="M40" s="48" t="s">
        <v>374</v>
      </c>
      <c r="N40" s="291">
        <v>33</v>
      </c>
      <c r="O40" s="289" t="s">
        <v>410</v>
      </c>
      <c r="P40" s="291" t="s">
        <v>376</v>
      </c>
      <c r="Q40" s="291">
        <v>1</v>
      </c>
      <c r="R40" s="320">
        <v>1000</v>
      </c>
      <c r="S40" s="317">
        <f t="shared" si="0"/>
        <v>1000</v>
      </c>
      <c r="T40" s="291" t="s">
        <v>372</v>
      </c>
    </row>
    <row r="41" spans="2:20">
      <c r="M41" s="48" t="s">
        <v>374</v>
      </c>
      <c r="N41" s="291">
        <v>34</v>
      </c>
      <c r="O41" s="289" t="s">
        <v>411</v>
      </c>
      <c r="P41" s="291" t="s">
        <v>376</v>
      </c>
      <c r="Q41" s="291">
        <v>2</v>
      </c>
      <c r="R41" s="320">
        <v>1000</v>
      </c>
      <c r="S41" s="317">
        <f t="shared" si="0"/>
        <v>2000</v>
      </c>
      <c r="T41" s="291" t="s">
        <v>372</v>
      </c>
    </row>
    <row r="42" spans="2:20">
      <c r="B42" s="48" t="s">
        <v>1565</v>
      </c>
      <c r="M42" s="48" t="s">
        <v>374</v>
      </c>
      <c r="N42" s="291">
        <v>35</v>
      </c>
      <c r="O42" s="289" t="s">
        <v>412</v>
      </c>
      <c r="P42" s="291" t="s">
        <v>376</v>
      </c>
      <c r="Q42" s="291">
        <v>2</v>
      </c>
      <c r="R42" s="320">
        <v>1000</v>
      </c>
      <c r="S42" s="317">
        <f t="shared" si="0"/>
        <v>2000</v>
      </c>
      <c r="T42" s="291" t="s">
        <v>654</v>
      </c>
    </row>
    <row r="43" spans="2:20" ht="15.75">
      <c r="B43" s="313" t="s">
        <v>891</v>
      </c>
      <c r="C43" s="313"/>
      <c r="D43" s="313"/>
      <c r="E43" s="313"/>
      <c r="F43" s="313"/>
      <c r="G43" s="313"/>
      <c r="H43" s="313"/>
      <c r="M43" s="48" t="s">
        <v>374</v>
      </c>
      <c r="N43" s="291">
        <v>36</v>
      </c>
      <c r="O43" s="289" t="s">
        <v>413</v>
      </c>
      <c r="P43" s="291" t="s">
        <v>376</v>
      </c>
      <c r="Q43" s="291">
        <v>2</v>
      </c>
      <c r="R43" s="320">
        <v>1000</v>
      </c>
      <c r="S43" s="317">
        <f t="shared" si="0"/>
        <v>2000</v>
      </c>
      <c r="T43" s="291" t="s">
        <v>654</v>
      </c>
    </row>
    <row r="44" spans="2:20" ht="30">
      <c r="B44" s="148"/>
      <c r="C44" s="148"/>
      <c r="D44" s="323" t="s">
        <v>897</v>
      </c>
      <c r="E44" s="323" t="s">
        <v>898</v>
      </c>
      <c r="F44" s="324" t="s">
        <v>71</v>
      </c>
      <c r="G44" s="323"/>
      <c r="H44" s="323"/>
      <c r="M44" s="48" t="s">
        <v>374</v>
      </c>
      <c r="N44" s="291">
        <v>37</v>
      </c>
      <c r="O44" s="289" t="s">
        <v>414</v>
      </c>
      <c r="P44" s="291" t="s">
        <v>376</v>
      </c>
      <c r="Q44" s="291">
        <v>2</v>
      </c>
      <c r="R44" s="320">
        <v>1000</v>
      </c>
      <c r="S44" s="317">
        <f t="shared" si="0"/>
        <v>2000</v>
      </c>
      <c r="T44" s="291" t="s">
        <v>654</v>
      </c>
    </row>
    <row r="45" spans="2:20">
      <c r="B45" s="314" t="s">
        <v>1122</v>
      </c>
      <c r="C45" s="48" t="s">
        <v>374</v>
      </c>
      <c r="D45" s="51">
        <f>COUNTIF($B$69:$B$253,B45)</f>
        <v>35</v>
      </c>
      <c r="E45" s="51">
        <f>SUMIF($B$69:$B$253,B45,$F$69:$F$253)</f>
        <v>45</v>
      </c>
      <c r="F45" s="51">
        <f>SUMIF($B$69:$B$253,B45,$H$69:$H$253)</f>
        <v>45000</v>
      </c>
      <c r="G45" s="51"/>
      <c r="H45" s="51"/>
      <c r="M45" s="48" t="s">
        <v>374</v>
      </c>
      <c r="N45" s="291">
        <v>38</v>
      </c>
      <c r="O45" s="289" t="s">
        <v>415</v>
      </c>
      <c r="P45" s="291" t="s">
        <v>376</v>
      </c>
      <c r="Q45" s="291">
        <v>12</v>
      </c>
      <c r="R45" s="320">
        <v>1000</v>
      </c>
      <c r="S45" s="317">
        <f t="shared" si="0"/>
        <v>12000</v>
      </c>
      <c r="T45" s="291" t="s">
        <v>654</v>
      </c>
    </row>
    <row r="46" spans="2:20">
      <c r="B46" s="314" t="s">
        <v>1123</v>
      </c>
      <c r="C46" s="48" t="s">
        <v>374</v>
      </c>
      <c r="D46" s="51">
        <f>COUNTIF($B$69:$B$253,B46)</f>
        <v>24</v>
      </c>
      <c r="E46" s="51">
        <f>SUMIF($B$69:$B$253,B46,$F$69:$F$253)</f>
        <v>38</v>
      </c>
      <c r="F46" s="51">
        <f>SUMIF($B$69:$B$253,B46,$H$69:$H$253)</f>
        <v>38000</v>
      </c>
      <c r="G46" s="51"/>
      <c r="H46" s="51"/>
      <c r="M46" s="48" t="s">
        <v>374</v>
      </c>
      <c r="N46" s="291">
        <v>39</v>
      </c>
      <c r="O46" s="289" t="s">
        <v>416</v>
      </c>
      <c r="P46" s="291" t="s">
        <v>376</v>
      </c>
      <c r="Q46" s="291">
        <v>5</v>
      </c>
      <c r="R46" s="320">
        <v>1000</v>
      </c>
      <c r="S46" s="317">
        <f t="shared" si="0"/>
        <v>5000</v>
      </c>
      <c r="T46" s="291" t="s">
        <v>654</v>
      </c>
    </row>
    <row r="47" spans="2:20">
      <c r="B47" s="314" t="s">
        <v>889</v>
      </c>
      <c r="D47" s="51"/>
      <c r="E47" s="51"/>
      <c r="F47" s="51"/>
      <c r="G47" s="51"/>
      <c r="H47" s="51"/>
      <c r="M47" s="48" t="s">
        <v>374</v>
      </c>
      <c r="N47" s="291">
        <v>40</v>
      </c>
      <c r="O47" s="289" t="s">
        <v>417</v>
      </c>
      <c r="P47" s="291" t="s">
        <v>376</v>
      </c>
      <c r="Q47" s="291">
        <v>1</v>
      </c>
      <c r="R47" s="320">
        <v>1000</v>
      </c>
      <c r="S47" s="317">
        <f t="shared" si="0"/>
        <v>1000</v>
      </c>
      <c r="T47" s="291" t="s">
        <v>654</v>
      </c>
    </row>
    <row r="48" spans="2:20">
      <c r="B48" s="48" t="s">
        <v>39</v>
      </c>
      <c r="D48" s="51">
        <f>COUNTIF($B$69:$B$253,B48)</f>
        <v>14</v>
      </c>
      <c r="E48" s="51">
        <f>SUMIF($B$69:$B$253,B48,$F$69:$F$253)</f>
        <v>15</v>
      </c>
      <c r="F48" s="51">
        <f>SUMIF($B$69:$B$253,B48,$H$69:$H$253)</f>
        <v>15000</v>
      </c>
      <c r="G48" s="51"/>
      <c r="H48" s="51"/>
      <c r="M48" s="48" t="s">
        <v>374</v>
      </c>
      <c r="N48" s="291">
        <v>41</v>
      </c>
      <c r="O48" s="289" t="s">
        <v>418</v>
      </c>
      <c r="P48" s="291" t="s">
        <v>406</v>
      </c>
      <c r="Q48" s="291">
        <v>1</v>
      </c>
      <c r="R48" s="320">
        <v>1000</v>
      </c>
      <c r="S48" s="317">
        <f t="shared" si="0"/>
        <v>1000</v>
      </c>
      <c r="T48" s="291" t="s">
        <v>655</v>
      </c>
    </row>
    <row r="49" spans="2:20" ht="25.5">
      <c r="B49" s="48" t="s">
        <v>887</v>
      </c>
      <c r="D49" s="51">
        <f>COUNTIF($B$69:$B$253,B49)</f>
        <v>48</v>
      </c>
      <c r="E49" s="51">
        <f>SUMIF($B$69:$B$253,B49,$F$69:$F$253)</f>
        <v>2992</v>
      </c>
      <c r="F49" s="51">
        <f>SUMIF($B$69:$B$253,B49,$H$69:$H$253)</f>
        <v>2992000</v>
      </c>
      <c r="G49" s="51"/>
      <c r="H49" s="51"/>
      <c r="M49" s="48" t="s">
        <v>887</v>
      </c>
      <c r="N49" s="291">
        <v>1</v>
      </c>
      <c r="O49" s="289" t="s">
        <v>419</v>
      </c>
      <c r="P49" s="291"/>
      <c r="Q49" s="291">
        <v>1</v>
      </c>
      <c r="R49" s="320">
        <v>1000</v>
      </c>
      <c r="S49" s="317">
        <f t="shared" si="0"/>
        <v>1000</v>
      </c>
      <c r="T49" s="291" t="s">
        <v>372</v>
      </c>
    </row>
    <row r="50" spans="2:20" ht="25.5">
      <c r="B50" s="48" t="s">
        <v>40</v>
      </c>
      <c r="D50" s="51">
        <f>COUNTIF($B$69:$B$253,B50)</f>
        <v>0</v>
      </c>
      <c r="E50" s="51">
        <f>SUMIF($B$69:$B$253,B50,$F$69:$F$253)</f>
        <v>0</v>
      </c>
      <c r="F50" s="51">
        <f>SUMIF($B$69:$B$253,B50,$H$69:$H$253)</f>
        <v>0</v>
      </c>
      <c r="G50" s="51"/>
      <c r="H50" s="51"/>
      <c r="M50" s="48" t="s">
        <v>887</v>
      </c>
      <c r="N50" s="291">
        <v>2</v>
      </c>
      <c r="O50" s="289" t="s">
        <v>420</v>
      </c>
      <c r="P50" s="291" t="s">
        <v>376</v>
      </c>
      <c r="Q50" s="291">
        <v>1</v>
      </c>
      <c r="R50" s="320">
        <v>1000</v>
      </c>
      <c r="S50" s="317">
        <f t="shared" si="0"/>
        <v>1000</v>
      </c>
      <c r="T50" s="291" t="s">
        <v>372</v>
      </c>
    </row>
    <row r="51" spans="2:20">
      <c r="B51" s="48" t="s">
        <v>38</v>
      </c>
      <c r="D51" s="51">
        <f>COUNTIF($B$69:$B$253,B51)</f>
        <v>43</v>
      </c>
      <c r="E51" s="51">
        <f>SUMIF($B$69:$B$253,B51,$F$69:$F$253)</f>
        <v>2983</v>
      </c>
      <c r="F51" s="51">
        <f>SUMIF($B$69:$B$253,B51,$H$69:$H$253)</f>
        <v>2983000</v>
      </c>
      <c r="G51" s="51"/>
      <c r="H51" s="51"/>
      <c r="M51" s="48" t="s">
        <v>887</v>
      </c>
      <c r="N51" s="291">
        <v>3</v>
      </c>
      <c r="O51" s="289" t="s">
        <v>421</v>
      </c>
      <c r="P51" s="291" t="s">
        <v>376</v>
      </c>
      <c r="Q51" s="291">
        <v>1</v>
      </c>
      <c r="R51" s="320">
        <v>1000</v>
      </c>
      <c r="S51" s="317">
        <f t="shared" si="0"/>
        <v>1000</v>
      </c>
      <c r="T51" s="291" t="s">
        <v>372</v>
      </c>
    </row>
    <row r="52" spans="2:20">
      <c r="D52" s="51"/>
      <c r="E52" s="51"/>
      <c r="F52" s="51"/>
      <c r="G52" s="51"/>
      <c r="H52" s="51"/>
      <c r="M52" s="48" t="s">
        <v>887</v>
      </c>
      <c r="N52" s="291">
        <v>4</v>
      </c>
      <c r="O52" s="289" t="s">
        <v>422</v>
      </c>
      <c r="P52" s="291" t="s">
        <v>401</v>
      </c>
      <c r="Q52" s="291">
        <v>1</v>
      </c>
      <c r="R52" s="320">
        <v>1000</v>
      </c>
      <c r="S52" s="317">
        <f t="shared" si="0"/>
        <v>1000</v>
      </c>
      <c r="T52" s="291" t="s">
        <v>372</v>
      </c>
    </row>
    <row r="53" spans="2:20">
      <c r="B53" s="455"/>
      <c r="C53" s="455"/>
      <c r="D53" s="494">
        <f>SUM(D45:D52)</f>
        <v>164</v>
      </c>
      <c r="E53" s="494">
        <f t="shared" ref="E53:F53" si="8">SUM(E45:E52)</f>
        <v>6073</v>
      </c>
      <c r="F53" s="494">
        <f t="shared" si="8"/>
        <v>6073000</v>
      </c>
      <c r="G53" s="494"/>
      <c r="H53" s="494"/>
      <c r="M53" s="48" t="s">
        <v>887</v>
      </c>
      <c r="N53" s="291">
        <v>5</v>
      </c>
      <c r="O53" s="289" t="s">
        <v>423</v>
      </c>
      <c r="P53" s="291" t="s">
        <v>376</v>
      </c>
      <c r="Q53" s="291">
        <v>2</v>
      </c>
      <c r="R53" s="320">
        <v>1000</v>
      </c>
      <c r="S53" s="317">
        <f t="shared" si="0"/>
        <v>2000</v>
      </c>
      <c r="T53" s="291" t="s">
        <v>372</v>
      </c>
    </row>
    <row r="54" spans="2:20">
      <c r="D54" s="51"/>
      <c r="E54" s="51"/>
      <c r="F54" s="51"/>
      <c r="G54" s="51"/>
      <c r="H54" s="51"/>
      <c r="M54" s="48" t="s">
        <v>887</v>
      </c>
      <c r="N54" s="291">
        <v>6</v>
      </c>
      <c r="O54" s="289" t="s">
        <v>411</v>
      </c>
      <c r="P54" s="291" t="s">
        <v>376</v>
      </c>
      <c r="Q54" s="291">
        <v>2</v>
      </c>
      <c r="R54" s="320">
        <v>1000</v>
      </c>
      <c r="S54" s="317">
        <f t="shared" si="0"/>
        <v>2000</v>
      </c>
      <c r="T54" s="291" t="s">
        <v>372</v>
      </c>
    </row>
    <row r="55" spans="2:20">
      <c r="M55" s="48" t="s">
        <v>887</v>
      </c>
      <c r="N55" s="291">
        <v>7</v>
      </c>
      <c r="O55" s="289" t="s">
        <v>424</v>
      </c>
      <c r="P55" s="291" t="s">
        <v>376</v>
      </c>
      <c r="Q55" s="291">
        <v>10</v>
      </c>
      <c r="R55" s="320">
        <v>1000</v>
      </c>
      <c r="S55" s="317">
        <f t="shared" si="0"/>
        <v>10000</v>
      </c>
      <c r="T55" s="291" t="s">
        <v>654</v>
      </c>
    </row>
    <row r="56" spans="2:20" ht="51">
      <c r="B56" s="314" t="s">
        <v>890</v>
      </c>
      <c r="D56" s="51"/>
      <c r="E56" s="51"/>
      <c r="F56" s="51"/>
      <c r="G56" s="51"/>
      <c r="H56" s="51"/>
      <c r="M56" s="48" t="s">
        <v>887</v>
      </c>
      <c r="N56" s="291">
        <v>8</v>
      </c>
      <c r="O56" s="289" t="s">
        <v>425</v>
      </c>
      <c r="P56" s="291" t="s">
        <v>426</v>
      </c>
      <c r="Q56" s="291">
        <v>10</v>
      </c>
      <c r="R56" s="320">
        <v>1000</v>
      </c>
      <c r="S56" s="317">
        <f t="shared" si="0"/>
        <v>10000</v>
      </c>
      <c r="T56" s="291" t="s">
        <v>372</v>
      </c>
    </row>
    <row r="57" spans="2:20">
      <c r="B57" s="48" t="s">
        <v>188</v>
      </c>
      <c r="D57" s="51">
        <f t="shared" ref="D57:D62" si="9">COUNTIF($B$69:$B$253,B57)</f>
        <v>20</v>
      </c>
      <c r="E57" s="51">
        <f t="shared" ref="E57:E62" si="10">SUMIF($B$69:$B$253,B57,$F$69:$F$253)</f>
        <v>60</v>
      </c>
      <c r="F57" s="51">
        <f t="shared" ref="F57:F62" si="11">SUMIF($B$69:$B$253,B57,$H$69:$H$253)</f>
        <v>60000</v>
      </c>
      <c r="G57" s="51"/>
      <c r="H57" s="51"/>
      <c r="M57" s="48" t="s">
        <v>887</v>
      </c>
      <c r="N57" s="291">
        <v>9</v>
      </c>
      <c r="O57" s="289" t="s">
        <v>427</v>
      </c>
      <c r="P57" s="291" t="s">
        <v>376</v>
      </c>
      <c r="Q57" s="291">
        <v>2</v>
      </c>
      <c r="R57" s="320">
        <v>1000</v>
      </c>
      <c r="S57" s="317">
        <f t="shared" si="0"/>
        <v>2000</v>
      </c>
      <c r="T57" s="291" t="s">
        <v>372</v>
      </c>
    </row>
    <row r="58" spans="2:20">
      <c r="B58" s="48" t="s">
        <v>26</v>
      </c>
      <c r="D58" s="51">
        <f t="shared" si="9"/>
        <v>1</v>
      </c>
      <c r="E58" s="51">
        <f t="shared" si="10"/>
        <v>1</v>
      </c>
      <c r="F58" s="51">
        <f t="shared" si="11"/>
        <v>1000</v>
      </c>
      <c r="G58" s="51"/>
      <c r="H58" s="51"/>
      <c r="M58" s="48" t="s">
        <v>887</v>
      </c>
      <c r="N58" s="291">
        <v>10</v>
      </c>
      <c r="O58" s="289" t="s">
        <v>428</v>
      </c>
      <c r="P58" s="291" t="s">
        <v>376</v>
      </c>
      <c r="Q58" s="291">
        <v>1</v>
      </c>
      <c r="R58" s="320">
        <v>1000</v>
      </c>
      <c r="S58" s="317">
        <f t="shared" si="0"/>
        <v>1000</v>
      </c>
      <c r="T58" s="291" t="s">
        <v>372</v>
      </c>
    </row>
    <row r="59" spans="2:20">
      <c r="B59" s="48" t="s">
        <v>64</v>
      </c>
      <c r="D59" s="51">
        <f t="shared" si="9"/>
        <v>0</v>
      </c>
      <c r="E59" s="51">
        <f t="shared" si="10"/>
        <v>0</v>
      </c>
      <c r="F59" s="51">
        <f t="shared" si="11"/>
        <v>0</v>
      </c>
      <c r="G59" s="51"/>
      <c r="H59" s="51"/>
      <c r="M59" s="48" t="s">
        <v>887</v>
      </c>
      <c r="N59" s="291">
        <v>11</v>
      </c>
      <c r="O59" s="289" t="s">
        <v>429</v>
      </c>
      <c r="P59" s="291" t="s">
        <v>376</v>
      </c>
      <c r="Q59" s="291">
        <v>1</v>
      </c>
      <c r="R59" s="320">
        <v>1000</v>
      </c>
      <c r="S59" s="317">
        <f t="shared" si="0"/>
        <v>1000</v>
      </c>
      <c r="T59" s="291" t="s">
        <v>372</v>
      </c>
    </row>
    <row r="60" spans="2:20">
      <c r="B60" s="48" t="s">
        <v>52</v>
      </c>
      <c r="D60" s="51">
        <f t="shared" si="9"/>
        <v>0</v>
      </c>
      <c r="E60" s="51">
        <f t="shared" si="10"/>
        <v>0</v>
      </c>
      <c r="F60" s="51">
        <f t="shared" si="11"/>
        <v>0</v>
      </c>
      <c r="G60" s="51"/>
      <c r="H60" s="51"/>
      <c r="M60" s="48" t="s">
        <v>887</v>
      </c>
      <c r="N60" s="291">
        <v>12</v>
      </c>
      <c r="O60" s="289" t="s">
        <v>430</v>
      </c>
      <c r="P60" s="291" t="s">
        <v>376</v>
      </c>
      <c r="Q60" s="291">
        <v>2</v>
      </c>
      <c r="R60" s="320">
        <v>1000</v>
      </c>
      <c r="S60" s="317">
        <f t="shared" si="0"/>
        <v>2000</v>
      </c>
      <c r="T60" s="291" t="s">
        <v>372</v>
      </c>
    </row>
    <row r="61" spans="2:20">
      <c r="B61" s="48" t="s">
        <v>51</v>
      </c>
      <c r="D61" s="51">
        <f t="shared" si="9"/>
        <v>0</v>
      </c>
      <c r="E61" s="51">
        <f t="shared" si="10"/>
        <v>0</v>
      </c>
      <c r="F61" s="51">
        <f t="shared" si="11"/>
        <v>0</v>
      </c>
      <c r="G61" s="51"/>
      <c r="H61" s="51"/>
      <c r="M61" s="48" t="s">
        <v>887</v>
      </c>
      <c r="N61" s="291">
        <v>13</v>
      </c>
      <c r="O61" s="289" t="s">
        <v>431</v>
      </c>
      <c r="P61" s="291" t="s">
        <v>376</v>
      </c>
      <c r="Q61" s="291">
        <v>1</v>
      </c>
      <c r="R61" s="320">
        <v>1000</v>
      </c>
      <c r="S61" s="317">
        <f t="shared" si="0"/>
        <v>1000</v>
      </c>
      <c r="T61" s="291" t="s">
        <v>372</v>
      </c>
    </row>
    <row r="62" spans="2:20">
      <c r="B62" s="48" t="s">
        <v>53</v>
      </c>
      <c r="D62" s="34">
        <f t="shared" si="9"/>
        <v>0</v>
      </c>
      <c r="E62" s="34">
        <f t="shared" si="10"/>
        <v>0</v>
      </c>
      <c r="F62" s="34">
        <f t="shared" si="11"/>
        <v>0</v>
      </c>
      <c r="G62" s="34"/>
      <c r="H62" s="34"/>
      <c r="M62" s="48" t="s">
        <v>887</v>
      </c>
      <c r="N62" s="291">
        <v>14</v>
      </c>
      <c r="O62" s="289" t="s">
        <v>432</v>
      </c>
      <c r="P62" s="291" t="s">
        <v>376</v>
      </c>
      <c r="Q62" s="291">
        <v>1</v>
      </c>
      <c r="R62" s="320">
        <v>1000</v>
      </c>
      <c r="S62" s="317">
        <f t="shared" si="0"/>
        <v>1000</v>
      </c>
      <c r="T62" s="291" t="s">
        <v>372</v>
      </c>
    </row>
    <row r="63" spans="2:20">
      <c r="D63" s="322">
        <f>SUM(D57:D62)</f>
        <v>21</v>
      </c>
      <c r="E63" s="322">
        <f t="shared" ref="E63:F63" si="12">SUM(E57:E62)</f>
        <v>61</v>
      </c>
      <c r="F63" s="322">
        <f t="shared" si="12"/>
        <v>61000</v>
      </c>
      <c r="G63" s="322"/>
      <c r="H63" s="322"/>
      <c r="M63" s="48" t="s">
        <v>887</v>
      </c>
      <c r="N63" s="291">
        <v>15</v>
      </c>
      <c r="O63" s="289" t="s">
        <v>433</v>
      </c>
      <c r="P63" s="291" t="s">
        <v>376</v>
      </c>
      <c r="Q63" s="291">
        <v>1</v>
      </c>
      <c r="R63" s="320">
        <v>1000</v>
      </c>
      <c r="S63" s="317">
        <f t="shared" si="0"/>
        <v>1000</v>
      </c>
      <c r="T63" s="291" t="s">
        <v>372</v>
      </c>
    </row>
    <row r="64" spans="2:20">
      <c r="E64" s="48" t="s">
        <v>234</v>
      </c>
      <c r="F64" s="509">
        <f>SUM(F53,F63)</f>
        <v>6134000</v>
      </c>
      <c r="M64" s="48" t="s">
        <v>887</v>
      </c>
      <c r="N64" s="291">
        <v>16</v>
      </c>
      <c r="O64" s="289" t="s">
        <v>434</v>
      </c>
      <c r="P64" s="291" t="s">
        <v>376</v>
      </c>
      <c r="Q64" s="291">
        <v>1</v>
      </c>
      <c r="R64" s="320">
        <v>1000</v>
      </c>
      <c r="S64" s="317">
        <f t="shared" si="0"/>
        <v>1000</v>
      </c>
      <c r="T64" s="291" t="s">
        <v>372</v>
      </c>
    </row>
    <row r="65" spans="2:20">
      <c r="F65" s="495">
        <f>H254-F63-F53</f>
        <v>0</v>
      </c>
      <c r="G65" s="49" t="s">
        <v>238</v>
      </c>
      <c r="M65" s="48" t="s">
        <v>887</v>
      </c>
      <c r="N65" s="291">
        <v>17</v>
      </c>
      <c r="O65" s="289" t="s">
        <v>435</v>
      </c>
      <c r="P65" s="291" t="s">
        <v>376</v>
      </c>
      <c r="Q65" s="291">
        <v>1</v>
      </c>
      <c r="R65" s="320">
        <v>1000</v>
      </c>
      <c r="S65" s="317">
        <f t="shared" si="0"/>
        <v>1000</v>
      </c>
      <c r="T65" s="291" t="s">
        <v>372</v>
      </c>
    </row>
    <row r="66" spans="2:20">
      <c r="M66" s="48" t="s">
        <v>887</v>
      </c>
      <c r="N66" s="291">
        <v>18</v>
      </c>
      <c r="O66" s="289" t="s">
        <v>436</v>
      </c>
      <c r="P66" s="291" t="s">
        <v>376</v>
      </c>
      <c r="Q66" s="291">
        <v>1</v>
      </c>
      <c r="R66" s="320">
        <v>1000</v>
      </c>
      <c r="S66" s="317">
        <f t="shared" si="0"/>
        <v>1000</v>
      </c>
      <c r="T66" s="291" t="s">
        <v>372</v>
      </c>
    </row>
    <row r="67" spans="2:20" ht="15">
      <c r="B67" s="489" t="s">
        <v>1562</v>
      </c>
      <c r="C67" s="490"/>
      <c r="D67" s="490"/>
      <c r="E67" s="490"/>
      <c r="F67" s="490"/>
      <c r="G67" s="491"/>
      <c r="H67" s="491"/>
      <c r="M67" s="48" t="s">
        <v>887</v>
      </c>
      <c r="N67" s="291">
        <v>19</v>
      </c>
      <c r="O67" s="289" t="s">
        <v>437</v>
      </c>
      <c r="P67" s="291" t="s">
        <v>376</v>
      </c>
      <c r="Q67" s="291">
        <v>1</v>
      </c>
      <c r="R67" s="320">
        <v>1000</v>
      </c>
      <c r="S67" s="317">
        <f t="shared" si="0"/>
        <v>1000</v>
      </c>
      <c r="T67" s="291" t="s">
        <v>372</v>
      </c>
    </row>
    <row r="68" spans="2:20" ht="15">
      <c r="B68" s="492" t="s">
        <v>886</v>
      </c>
      <c r="C68" s="159" t="s">
        <v>892</v>
      </c>
      <c r="D68" s="159" t="s">
        <v>1563</v>
      </c>
      <c r="E68" s="159" t="s">
        <v>101</v>
      </c>
      <c r="F68" s="159" t="s">
        <v>163</v>
      </c>
      <c r="G68" s="493" t="s">
        <v>895</v>
      </c>
      <c r="H68" s="493" t="s">
        <v>896</v>
      </c>
      <c r="M68" s="48" t="s">
        <v>887</v>
      </c>
      <c r="N68" s="291">
        <v>20</v>
      </c>
      <c r="O68" s="289" t="s">
        <v>438</v>
      </c>
      <c r="P68" s="291" t="s">
        <v>406</v>
      </c>
      <c r="Q68" s="291">
        <v>1</v>
      </c>
      <c r="R68" s="320">
        <v>1000</v>
      </c>
      <c r="S68" s="317">
        <f t="shared" si="0"/>
        <v>1000</v>
      </c>
      <c r="T68" s="291" t="s">
        <v>372</v>
      </c>
    </row>
    <row r="69" spans="2:20">
      <c r="B69" s="48" t="s">
        <v>1122</v>
      </c>
      <c r="C69" s="454">
        <v>1</v>
      </c>
      <c r="D69" s="48" t="s">
        <v>1085</v>
      </c>
      <c r="E69" s="48" t="s">
        <v>564</v>
      </c>
      <c r="F69" s="48">
        <v>1</v>
      </c>
      <c r="G69" s="320">
        <v>1000</v>
      </c>
      <c r="H69" s="317">
        <f t="shared" ref="H69" si="13">G69*F69</f>
        <v>1000</v>
      </c>
      <c r="M69" s="48" t="s">
        <v>887</v>
      </c>
      <c r="N69" s="291">
        <v>21</v>
      </c>
      <c r="O69" s="289" t="s">
        <v>439</v>
      </c>
      <c r="P69" s="291" t="s">
        <v>376</v>
      </c>
      <c r="Q69" s="291">
        <v>1</v>
      </c>
      <c r="R69" s="320">
        <v>1000</v>
      </c>
      <c r="S69" s="317">
        <f t="shared" si="0"/>
        <v>1000</v>
      </c>
      <c r="T69" s="291" t="s">
        <v>372</v>
      </c>
    </row>
    <row r="70" spans="2:20">
      <c r="B70" s="48" t="s">
        <v>1122</v>
      </c>
      <c r="C70" s="454">
        <v>2</v>
      </c>
      <c r="D70" s="48" t="s">
        <v>1131</v>
      </c>
      <c r="E70" s="48" t="s">
        <v>1132</v>
      </c>
      <c r="F70" s="48">
        <v>1</v>
      </c>
      <c r="G70" s="320">
        <v>1000</v>
      </c>
      <c r="H70" s="317">
        <f t="shared" ref="H70:H127" si="14">G70*F70</f>
        <v>1000</v>
      </c>
      <c r="M70" s="48" t="s">
        <v>887</v>
      </c>
      <c r="N70" s="291">
        <v>22</v>
      </c>
      <c r="O70" s="289" t="s">
        <v>440</v>
      </c>
      <c r="P70" s="291" t="s">
        <v>376</v>
      </c>
      <c r="Q70" s="291">
        <v>1</v>
      </c>
      <c r="R70" s="320">
        <v>1000</v>
      </c>
      <c r="S70" s="317">
        <f t="shared" si="0"/>
        <v>1000</v>
      </c>
      <c r="T70" s="291" t="s">
        <v>372</v>
      </c>
    </row>
    <row r="71" spans="2:20">
      <c r="B71" s="48" t="s">
        <v>1122</v>
      </c>
      <c r="C71" s="454">
        <v>3</v>
      </c>
      <c r="D71" s="48" t="s">
        <v>1134</v>
      </c>
      <c r="E71" s="48" t="s">
        <v>1132</v>
      </c>
      <c r="F71" s="48">
        <v>1</v>
      </c>
      <c r="G71" s="320">
        <v>1000</v>
      </c>
      <c r="H71" s="317">
        <f t="shared" si="14"/>
        <v>1000</v>
      </c>
      <c r="M71" s="48" t="s">
        <v>887</v>
      </c>
      <c r="N71" s="291">
        <v>23</v>
      </c>
      <c r="O71" s="289" t="s">
        <v>441</v>
      </c>
      <c r="P71" s="291" t="s">
        <v>376</v>
      </c>
      <c r="Q71" s="291">
        <v>1</v>
      </c>
      <c r="R71" s="320">
        <v>1000</v>
      </c>
      <c r="S71" s="317">
        <f t="shared" si="0"/>
        <v>1000</v>
      </c>
      <c r="T71" s="291" t="s">
        <v>372</v>
      </c>
    </row>
    <row r="72" spans="2:20">
      <c r="B72" s="48" t="s">
        <v>1122</v>
      </c>
      <c r="C72" s="454">
        <v>4</v>
      </c>
      <c r="D72" s="48" t="s">
        <v>1136</v>
      </c>
      <c r="E72" s="48" t="s">
        <v>1132</v>
      </c>
      <c r="F72" s="48">
        <v>1</v>
      </c>
      <c r="G72" s="320">
        <v>1000</v>
      </c>
      <c r="H72" s="317">
        <f t="shared" si="14"/>
        <v>1000</v>
      </c>
      <c r="M72" s="48" t="s">
        <v>887</v>
      </c>
      <c r="N72" s="291">
        <v>24</v>
      </c>
      <c r="O72" s="289" t="s">
        <v>442</v>
      </c>
      <c r="P72" s="291" t="s">
        <v>376</v>
      </c>
      <c r="Q72" s="291">
        <v>1</v>
      </c>
      <c r="R72" s="320">
        <v>1000</v>
      </c>
      <c r="S72" s="317">
        <f t="shared" si="0"/>
        <v>1000</v>
      </c>
      <c r="T72" s="291" t="s">
        <v>372</v>
      </c>
    </row>
    <row r="73" spans="2:20">
      <c r="B73" s="48" t="s">
        <v>1122</v>
      </c>
      <c r="C73" s="454">
        <v>5</v>
      </c>
      <c r="D73" s="48" t="s">
        <v>1138</v>
      </c>
      <c r="E73" s="48" t="s">
        <v>1132</v>
      </c>
      <c r="F73" s="48">
        <v>1</v>
      </c>
      <c r="G73" s="320">
        <v>1000</v>
      </c>
      <c r="H73" s="317">
        <f t="shared" si="14"/>
        <v>1000</v>
      </c>
      <c r="M73" s="48" t="s">
        <v>887</v>
      </c>
      <c r="N73" s="291">
        <v>25</v>
      </c>
      <c r="O73" s="289" t="s">
        <v>443</v>
      </c>
      <c r="P73" s="291" t="s">
        <v>376</v>
      </c>
      <c r="Q73" s="291">
        <v>1</v>
      </c>
      <c r="R73" s="320">
        <v>1000</v>
      </c>
      <c r="S73" s="317">
        <f t="shared" ref="S73:S136" si="15">R73*Q73</f>
        <v>1000</v>
      </c>
      <c r="T73" s="291" t="s">
        <v>372</v>
      </c>
    </row>
    <row r="74" spans="2:20">
      <c r="B74" s="48" t="s">
        <v>1122</v>
      </c>
      <c r="C74" s="454">
        <v>6</v>
      </c>
      <c r="D74" s="48" t="s">
        <v>1140</v>
      </c>
      <c r="E74" s="48" t="s">
        <v>1132</v>
      </c>
      <c r="F74" s="48">
        <v>1</v>
      </c>
      <c r="G74" s="320">
        <v>1000</v>
      </c>
      <c r="H74" s="317">
        <f t="shared" si="14"/>
        <v>1000</v>
      </c>
      <c r="M74" s="48" t="s">
        <v>887</v>
      </c>
      <c r="N74" s="291">
        <v>26</v>
      </c>
      <c r="O74" s="289" t="s">
        <v>444</v>
      </c>
      <c r="P74" s="291" t="s">
        <v>376</v>
      </c>
      <c r="Q74" s="291">
        <v>2</v>
      </c>
      <c r="R74" s="320">
        <v>1000</v>
      </c>
      <c r="S74" s="317">
        <f t="shared" si="15"/>
        <v>2000</v>
      </c>
      <c r="T74" s="291" t="s">
        <v>372</v>
      </c>
    </row>
    <row r="75" spans="2:20" ht="14.25">
      <c r="B75" s="48" t="s">
        <v>1122</v>
      </c>
      <c r="C75" s="454">
        <v>7</v>
      </c>
      <c r="D75" s="48" t="s">
        <v>1142</v>
      </c>
      <c r="E75" s="48" t="s">
        <v>1132</v>
      </c>
      <c r="F75" s="48">
        <v>1</v>
      </c>
      <c r="G75" s="320">
        <v>1000</v>
      </c>
      <c r="H75" s="317">
        <f t="shared" si="14"/>
        <v>1000</v>
      </c>
      <c r="M75" s="48" t="s">
        <v>887</v>
      </c>
      <c r="N75" s="291">
        <v>27</v>
      </c>
      <c r="O75" s="289" t="s">
        <v>445</v>
      </c>
      <c r="P75" s="291" t="s">
        <v>376</v>
      </c>
      <c r="Q75" s="291">
        <v>1</v>
      </c>
      <c r="R75" s="320">
        <v>1000</v>
      </c>
      <c r="S75" s="317">
        <f t="shared" si="15"/>
        <v>1000</v>
      </c>
      <c r="T75" s="291" t="s">
        <v>372</v>
      </c>
    </row>
    <row r="76" spans="2:20">
      <c r="B76" s="48" t="s">
        <v>1122</v>
      </c>
      <c r="C76" s="454">
        <v>8</v>
      </c>
      <c r="D76" s="48" t="s">
        <v>1144</v>
      </c>
      <c r="E76" s="48" t="s">
        <v>1132</v>
      </c>
      <c r="F76" s="48">
        <v>2</v>
      </c>
      <c r="G76" s="320">
        <v>1000</v>
      </c>
      <c r="H76" s="317">
        <f t="shared" si="14"/>
        <v>2000</v>
      </c>
      <c r="M76" s="48" t="s">
        <v>887</v>
      </c>
      <c r="N76" s="291">
        <v>28</v>
      </c>
      <c r="O76" s="289" t="s">
        <v>446</v>
      </c>
      <c r="P76" s="291" t="s">
        <v>376</v>
      </c>
      <c r="Q76" s="291">
        <v>1</v>
      </c>
      <c r="R76" s="320">
        <v>1000</v>
      </c>
      <c r="S76" s="317">
        <f t="shared" si="15"/>
        <v>1000</v>
      </c>
      <c r="T76" s="291" t="s">
        <v>372</v>
      </c>
    </row>
    <row r="77" spans="2:20">
      <c r="B77" s="48" t="s">
        <v>1122</v>
      </c>
      <c r="C77" s="454">
        <v>9</v>
      </c>
      <c r="D77" s="48" t="s">
        <v>1146</v>
      </c>
      <c r="E77" s="48" t="s">
        <v>1132</v>
      </c>
      <c r="F77" s="48">
        <v>3</v>
      </c>
      <c r="G77" s="320">
        <v>1000</v>
      </c>
      <c r="H77" s="317">
        <f t="shared" si="14"/>
        <v>3000</v>
      </c>
      <c r="M77" s="48" t="s">
        <v>887</v>
      </c>
      <c r="N77" s="291">
        <v>29</v>
      </c>
      <c r="O77" s="289" t="s">
        <v>447</v>
      </c>
      <c r="P77" s="291" t="s">
        <v>376</v>
      </c>
      <c r="Q77" s="291">
        <v>2</v>
      </c>
      <c r="R77" s="320">
        <v>1000</v>
      </c>
      <c r="S77" s="317">
        <f t="shared" si="15"/>
        <v>2000</v>
      </c>
      <c r="T77" s="291" t="s">
        <v>372</v>
      </c>
    </row>
    <row r="78" spans="2:20">
      <c r="B78" s="48" t="s">
        <v>1122</v>
      </c>
      <c r="C78" s="454">
        <v>10</v>
      </c>
      <c r="D78" s="48" t="s">
        <v>1148</v>
      </c>
      <c r="E78" s="48" t="s">
        <v>564</v>
      </c>
      <c r="F78" s="48">
        <v>1</v>
      </c>
      <c r="G78" s="320">
        <v>1000</v>
      </c>
      <c r="H78" s="317">
        <f t="shared" si="14"/>
        <v>1000</v>
      </c>
      <c r="M78" s="48" t="s">
        <v>887</v>
      </c>
      <c r="N78" s="291">
        <v>30</v>
      </c>
      <c r="O78" s="289" t="s">
        <v>448</v>
      </c>
      <c r="P78" s="291" t="s">
        <v>376</v>
      </c>
      <c r="Q78" s="291">
        <v>1</v>
      </c>
      <c r="R78" s="320">
        <v>1000</v>
      </c>
      <c r="S78" s="317">
        <f t="shared" si="15"/>
        <v>1000</v>
      </c>
      <c r="T78" s="291" t="s">
        <v>372</v>
      </c>
    </row>
    <row r="79" spans="2:20">
      <c r="B79" s="48" t="s">
        <v>1122</v>
      </c>
      <c r="C79" s="454">
        <v>11</v>
      </c>
      <c r="D79" s="48" t="s">
        <v>1150</v>
      </c>
      <c r="E79" s="48" t="s">
        <v>1132</v>
      </c>
      <c r="F79" s="48">
        <v>1</v>
      </c>
      <c r="G79" s="320">
        <v>1000</v>
      </c>
      <c r="H79" s="317">
        <f t="shared" si="14"/>
        <v>1000</v>
      </c>
      <c r="M79" s="48" t="s">
        <v>887</v>
      </c>
      <c r="N79" s="291">
        <v>31</v>
      </c>
      <c r="O79" s="289" t="s">
        <v>449</v>
      </c>
      <c r="P79" s="291" t="s">
        <v>376</v>
      </c>
      <c r="Q79" s="291">
        <v>2</v>
      </c>
      <c r="R79" s="320">
        <v>1000</v>
      </c>
      <c r="S79" s="317">
        <f t="shared" si="15"/>
        <v>2000</v>
      </c>
      <c r="T79" s="291" t="s">
        <v>654</v>
      </c>
    </row>
    <row r="80" spans="2:20">
      <c r="B80" s="48" t="s">
        <v>1122</v>
      </c>
      <c r="C80" s="454">
        <v>12</v>
      </c>
      <c r="D80" s="48" t="s">
        <v>1152</v>
      </c>
      <c r="E80" s="48" t="s">
        <v>1153</v>
      </c>
      <c r="F80" s="48">
        <v>1</v>
      </c>
      <c r="G80" s="320">
        <v>1000</v>
      </c>
      <c r="H80" s="317">
        <f t="shared" si="14"/>
        <v>1000</v>
      </c>
      <c r="M80" s="48" t="s">
        <v>887</v>
      </c>
      <c r="N80" s="291">
        <v>32</v>
      </c>
      <c r="O80" s="289" t="s">
        <v>450</v>
      </c>
      <c r="P80" s="291" t="s">
        <v>376</v>
      </c>
      <c r="Q80" s="291">
        <v>2</v>
      </c>
      <c r="R80" s="320">
        <v>1000</v>
      </c>
      <c r="S80" s="317">
        <f t="shared" si="15"/>
        <v>2000</v>
      </c>
      <c r="T80" s="291" t="s">
        <v>654</v>
      </c>
    </row>
    <row r="81" spans="2:20">
      <c r="B81" s="48" t="s">
        <v>1122</v>
      </c>
      <c r="C81" s="454">
        <v>13</v>
      </c>
      <c r="D81" s="48" t="s">
        <v>1155</v>
      </c>
      <c r="E81" s="48" t="s">
        <v>1132</v>
      </c>
      <c r="F81" s="48">
        <v>2</v>
      </c>
      <c r="G81" s="320">
        <v>1000</v>
      </c>
      <c r="H81" s="317">
        <f t="shared" si="14"/>
        <v>2000</v>
      </c>
      <c r="M81" s="48" t="s">
        <v>887</v>
      </c>
      <c r="N81" s="291">
        <v>33</v>
      </c>
      <c r="O81" s="289" t="s">
        <v>451</v>
      </c>
      <c r="P81" s="291" t="s">
        <v>376</v>
      </c>
      <c r="Q81" s="291">
        <v>2</v>
      </c>
      <c r="R81" s="320">
        <v>1000</v>
      </c>
      <c r="S81" s="317">
        <f t="shared" si="15"/>
        <v>2000</v>
      </c>
      <c r="T81" s="291" t="s">
        <v>372</v>
      </c>
    </row>
    <row r="82" spans="2:20">
      <c r="B82" s="48" t="s">
        <v>1122</v>
      </c>
      <c r="C82" s="454">
        <v>14</v>
      </c>
      <c r="D82" s="48" t="s">
        <v>1157</v>
      </c>
      <c r="E82" s="48" t="s">
        <v>1132</v>
      </c>
      <c r="F82" s="48">
        <v>1</v>
      </c>
      <c r="G82" s="320">
        <v>1000</v>
      </c>
      <c r="H82" s="317">
        <f t="shared" si="14"/>
        <v>1000</v>
      </c>
      <c r="M82" s="48" t="s">
        <v>887</v>
      </c>
      <c r="N82" s="291">
        <v>34</v>
      </c>
      <c r="O82" s="289" t="s">
        <v>452</v>
      </c>
      <c r="P82" s="291" t="s">
        <v>376</v>
      </c>
      <c r="Q82" s="291">
        <v>1</v>
      </c>
      <c r="R82" s="320">
        <v>1000</v>
      </c>
      <c r="S82" s="317">
        <f t="shared" si="15"/>
        <v>1000</v>
      </c>
      <c r="T82" s="291" t="s">
        <v>372</v>
      </c>
    </row>
    <row r="83" spans="2:20">
      <c r="B83" s="48" t="s">
        <v>1122</v>
      </c>
      <c r="C83" s="454">
        <v>15</v>
      </c>
      <c r="D83" s="48" t="s">
        <v>1159</v>
      </c>
      <c r="E83" s="48" t="s">
        <v>1132</v>
      </c>
      <c r="F83" s="48">
        <v>2</v>
      </c>
      <c r="G83" s="320">
        <v>1000</v>
      </c>
      <c r="H83" s="317">
        <f t="shared" si="14"/>
        <v>2000</v>
      </c>
      <c r="M83" s="48" t="s">
        <v>887</v>
      </c>
      <c r="N83" s="291">
        <v>35</v>
      </c>
      <c r="O83" s="289" t="s">
        <v>453</v>
      </c>
      <c r="P83" s="291" t="s">
        <v>376</v>
      </c>
      <c r="Q83" s="291">
        <v>1</v>
      </c>
      <c r="R83" s="320">
        <v>1000</v>
      </c>
      <c r="S83" s="317">
        <f t="shared" si="15"/>
        <v>1000</v>
      </c>
      <c r="T83" s="291" t="s">
        <v>372</v>
      </c>
    </row>
    <row r="84" spans="2:20">
      <c r="B84" s="48" t="s">
        <v>1122</v>
      </c>
      <c r="C84" s="454">
        <v>16</v>
      </c>
      <c r="D84" s="48" t="s">
        <v>1161</v>
      </c>
      <c r="E84" s="48" t="s">
        <v>1132</v>
      </c>
      <c r="F84" s="48">
        <v>1</v>
      </c>
      <c r="G84" s="320">
        <v>1000</v>
      </c>
      <c r="H84" s="317">
        <f t="shared" si="14"/>
        <v>1000</v>
      </c>
      <c r="M84" s="48" t="s">
        <v>887</v>
      </c>
      <c r="N84" s="291">
        <v>36</v>
      </c>
      <c r="O84" s="289" t="s">
        <v>454</v>
      </c>
      <c r="P84" s="291" t="s">
        <v>376</v>
      </c>
      <c r="Q84" s="291">
        <v>1</v>
      </c>
      <c r="R84" s="320">
        <v>1000</v>
      </c>
      <c r="S84" s="317">
        <f t="shared" si="15"/>
        <v>1000</v>
      </c>
      <c r="T84" s="291" t="s">
        <v>372</v>
      </c>
    </row>
    <row r="85" spans="2:20">
      <c r="B85" s="48" t="s">
        <v>1122</v>
      </c>
      <c r="C85" s="454">
        <v>17</v>
      </c>
      <c r="D85" s="48" t="s">
        <v>1163</v>
      </c>
      <c r="E85" s="48" t="s">
        <v>1132</v>
      </c>
      <c r="F85" s="48">
        <v>2</v>
      </c>
      <c r="G85" s="320">
        <v>1000</v>
      </c>
      <c r="H85" s="317">
        <f t="shared" si="14"/>
        <v>2000</v>
      </c>
      <c r="M85" s="48" t="s">
        <v>887</v>
      </c>
      <c r="N85" s="291">
        <v>37</v>
      </c>
      <c r="O85" s="289" t="s">
        <v>455</v>
      </c>
      <c r="P85" s="291" t="s">
        <v>376</v>
      </c>
      <c r="Q85" s="291">
        <v>1</v>
      </c>
      <c r="R85" s="320">
        <v>1000</v>
      </c>
      <c r="S85" s="317">
        <f t="shared" si="15"/>
        <v>1000</v>
      </c>
      <c r="T85" s="291" t="s">
        <v>372</v>
      </c>
    </row>
    <row r="86" spans="2:20">
      <c r="B86" s="48" t="s">
        <v>1122</v>
      </c>
      <c r="C86" s="454">
        <v>18</v>
      </c>
      <c r="D86" s="48" t="s">
        <v>1165</v>
      </c>
      <c r="E86" s="48" t="s">
        <v>1132</v>
      </c>
      <c r="F86" s="48">
        <v>1</v>
      </c>
      <c r="G86" s="320">
        <v>1000</v>
      </c>
      <c r="H86" s="317">
        <f t="shared" si="14"/>
        <v>1000</v>
      </c>
      <c r="M86" s="48" t="s">
        <v>887</v>
      </c>
      <c r="N86" s="291">
        <v>38</v>
      </c>
      <c r="O86" s="289" t="s">
        <v>456</v>
      </c>
      <c r="P86" s="291" t="s">
        <v>376</v>
      </c>
      <c r="Q86" s="291">
        <v>4</v>
      </c>
      <c r="R86" s="320">
        <v>1000</v>
      </c>
      <c r="S86" s="317">
        <f t="shared" si="15"/>
        <v>4000</v>
      </c>
      <c r="T86" s="291" t="s">
        <v>654</v>
      </c>
    </row>
    <row r="87" spans="2:20">
      <c r="B87" s="48" t="s">
        <v>1122</v>
      </c>
      <c r="C87" s="454">
        <v>19</v>
      </c>
      <c r="D87" s="48" t="s">
        <v>1167</v>
      </c>
      <c r="E87" s="48" t="s">
        <v>1132</v>
      </c>
      <c r="F87" s="48">
        <v>2</v>
      </c>
      <c r="G87" s="320">
        <v>1000</v>
      </c>
      <c r="H87" s="317">
        <f t="shared" si="14"/>
        <v>2000</v>
      </c>
      <c r="M87" s="48" t="s">
        <v>887</v>
      </c>
      <c r="N87" s="291">
        <v>39</v>
      </c>
      <c r="O87" s="289" t="s">
        <v>457</v>
      </c>
      <c r="P87" s="291" t="s">
        <v>376</v>
      </c>
      <c r="Q87" s="291">
        <v>4</v>
      </c>
      <c r="R87" s="320">
        <v>1000</v>
      </c>
      <c r="S87" s="317">
        <f t="shared" si="15"/>
        <v>4000</v>
      </c>
      <c r="T87" s="291" t="s">
        <v>372</v>
      </c>
    </row>
    <row r="88" spans="2:20" ht="25.5">
      <c r="B88" s="48" t="s">
        <v>1122</v>
      </c>
      <c r="C88" s="454">
        <v>20</v>
      </c>
      <c r="D88" s="48" t="s">
        <v>1169</v>
      </c>
      <c r="E88" s="48" t="s">
        <v>1132</v>
      </c>
      <c r="F88" s="48">
        <v>1</v>
      </c>
      <c r="G88" s="320">
        <v>1000</v>
      </c>
      <c r="H88" s="317">
        <f t="shared" si="14"/>
        <v>1000</v>
      </c>
      <c r="M88" s="48" t="s">
        <v>887</v>
      </c>
      <c r="N88" s="291">
        <v>40</v>
      </c>
      <c r="O88" s="289" t="s">
        <v>458</v>
      </c>
      <c r="P88" s="291" t="s">
        <v>376</v>
      </c>
      <c r="Q88" s="291">
        <v>3</v>
      </c>
      <c r="R88" s="320">
        <v>1000</v>
      </c>
      <c r="S88" s="317">
        <f t="shared" si="15"/>
        <v>3000</v>
      </c>
      <c r="T88" s="291" t="s">
        <v>372</v>
      </c>
    </row>
    <row r="89" spans="2:20">
      <c r="B89" s="48" t="s">
        <v>1122</v>
      </c>
      <c r="C89" s="454">
        <v>21</v>
      </c>
      <c r="D89" s="48" t="s">
        <v>1171</v>
      </c>
      <c r="E89" s="48" t="s">
        <v>1038</v>
      </c>
      <c r="F89" s="48">
        <v>2</v>
      </c>
      <c r="G89" s="320">
        <v>1000</v>
      </c>
      <c r="H89" s="317">
        <f t="shared" si="14"/>
        <v>2000</v>
      </c>
      <c r="M89" s="48" t="s">
        <v>887</v>
      </c>
      <c r="N89" s="291">
        <v>41</v>
      </c>
      <c r="O89" s="289" t="s">
        <v>459</v>
      </c>
      <c r="P89" s="291" t="s">
        <v>376</v>
      </c>
      <c r="Q89" s="291">
        <v>100</v>
      </c>
      <c r="R89" s="320">
        <v>1000</v>
      </c>
      <c r="S89" s="317">
        <f t="shared" si="15"/>
        <v>100000</v>
      </c>
      <c r="T89" s="291" t="s">
        <v>372</v>
      </c>
    </row>
    <row r="90" spans="2:20">
      <c r="B90" s="48" t="s">
        <v>1122</v>
      </c>
      <c r="C90" s="454">
        <v>22</v>
      </c>
      <c r="D90" s="48" t="s">
        <v>1173</v>
      </c>
      <c r="E90" s="48" t="s">
        <v>564</v>
      </c>
      <c r="F90" s="48">
        <v>1</v>
      </c>
      <c r="G90" s="320">
        <v>1000</v>
      </c>
      <c r="H90" s="317">
        <f t="shared" si="14"/>
        <v>1000</v>
      </c>
      <c r="M90" s="48" t="s">
        <v>887</v>
      </c>
      <c r="N90" s="291">
        <v>42</v>
      </c>
      <c r="O90" s="289" t="s">
        <v>460</v>
      </c>
      <c r="P90" s="291" t="s">
        <v>376</v>
      </c>
      <c r="Q90" s="291">
        <v>1</v>
      </c>
      <c r="R90" s="320">
        <v>1000</v>
      </c>
      <c r="S90" s="317">
        <f t="shared" si="15"/>
        <v>1000</v>
      </c>
      <c r="T90" s="291" t="s">
        <v>372</v>
      </c>
    </row>
    <row r="91" spans="2:20">
      <c r="B91" s="48" t="s">
        <v>1122</v>
      </c>
      <c r="C91" s="454">
        <v>23</v>
      </c>
      <c r="D91" s="48" t="s">
        <v>1175</v>
      </c>
      <c r="E91" s="48" t="s">
        <v>1132</v>
      </c>
      <c r="F91" s="48">
        <v>1</v>
      </c>
      <c r="G91" s="320">
        <v>1000</v>
      </c>
      <c r="H91" s="317">
        <f t="shared" si="14"/>
        <v>1000</v>
      </c>
      <c r="M91" s="48" t="s">
        <v>887</v>
      </c>
      <c r="N91" s="291">
        <v>43</v>
      </c>
      <c r="O91" s="289" t="s">
        <v>461</v>
      </c>
      <c r="P91" s="291" t="s">
        <v>376</v>
      </c>
      <c r="Q91" s="291">
        <v>1</v>
      </c>
      <c r="R91" s="320">
        <v>1000</v>
      </c>
      <c r="S91" s="317">
        <f t="shared" si="15"/>
        <v>1000</v>
      </c>
      <c r="T91" s="291" t="s">
        <v>372</v>
      </c>
    </row>
    <row r="92" spans="2:20">
      <c r="B92" s="48" t="s">
        <v>1122</v>
      </c>
      <c r="C92" s="454">
        <v>24</v>
      </c>
      <c r="D92" s="48" t="s">
        <v>1177</v>
      </c>
      <c r="E92" s="48" t="s">
        <v>1132</v>
      </c>
      <c r="F92" s="48">
        <v>2</v>
      </c>
      <c r="G92" s="320">
        <v>1000</v>
      </c>
      <c r="H92" s="317">
        <f t="shared" si="14"/>
        <v>2000</v>
      </c>
      <c r="M92" s="48" t="s">
        <v>887</v>
      </c>
      <c r="N92" s="291">
        <v>44</v>
      </c>
      <c r="O92" s="289" t="s">
        <v>409</v>
      </c>
      <c r="P92" s="291" t="s">
        <v>376</v>
      </c>
      <c r="Q92" s="291">
        <v>200</v>
      </c>
      <c r="R92" s="320">
        <v>1</v>
      </c>
      <c r="S92" s="317">
        <f t="shared" si="15"/>
        <v>200</v>
      </c>
      <c r="T92" s="291" t="s">
        <v>372</v>
      </c>
    </row>
    <row r="93" spans="2:20">
      <c r="B93" s="48" t="s">
        <v>1122</v>
      </c>
      <c r="C93" s="454">
        <v>26</v>
      </c>
      <c r="D93" s="48" t="s">
        <v>1180</v>
      </c>
      <c r="E93" s="48" t="s">
        <v>564</v>
      </c>
      <c r="F93" s="48">
        <v>2</v>
      </c>
      <c r="G93" s="320">
        <v>1000</v>
      </c>
      <c r="H93" s="317">
        <f t="shared" si="14"/>
        <v>2000</v>
      </c>
      <c r="M93" s="48" t="s">
        <v>887</v>
      </c>
      <c r="N93" s="291">
        <v>45</v>
      </c>
      <c r="O93" s="289" t="s">
        <v>462</v>
      </c>
      <c r="P93" s="291" t="s">
        <v>376</v>
      </c>
      <c r="Q93" s="291">
        <v>1</v>
      </c>
      <c r="R93" s="320">
        <v>1000</v>
      </c>
      <c r="S93" s="317">
        <f t="shared" si="15"/>
        <v>1000</v>
      </c>
      <c r="T93" s="291" t="s">
        <v>372</v>
      </c>
    </row>
    <row r="94" spans="2:20">
      <c r="B94" s="48" t="s">
        <v>1122</v>
      </c>
      <c r="C94" s="454">
        <v>27</v>
      </c>
      <c r="D94" s="48" t="s">
        <v>1182</v>
      </c>
      <c r="E94" s="48" t="s">
        <v>1038</v>
      </c>
      <c r="F94" s="48">
        <v>1</v>
      </c>
      <c r="G94" s="320">
        <v>1000</v>
      </c>
      <c r="H94" s="317">
        <f t="shared" si="14"/>
        <v>1000</v>
      </c>
      <c r="M94" s="48" t="s">
        <v>887</v>
      </c>
      <c r="N94" s="291">
        <v>46</v>
      </c>
      <c r="O94" s="289" t="s">
        <v>415</v>
      </c>
      <c r="P94" s="291" t="s">
        <v>376</v>
      </c>
      <c r="Q94" s="291">
        <v>2</v>
      </c>
      <c r="R94" s="320">
        <v>1000</v>
      </c>
      <c r="S94" s="317">
        <f t="shared" si="15"/>
        <v>2000</v>
      </c>
      <c r="T94" s="291" t="s">
        <v>654</v>
      </c>
    </row>
    <row r="95" spans="2:20">
      <c r="B95" s="48" t="s">
        <v>1122</v>
      </c>
      <c r="C95" s="454">
        <v>28</v>
      </c>
      <c r="D95" s="48" t="s">
        <v>1184</v>
      </c>
      <c r="E95" s="48" t="s">
        <v>564</v>
      </c>
      <c r="F95" s="48">
        <v>1</v>
      </c>
      <c r="G95" s="320">
        <v>1000</v>
      </c>
      <c r="H95" s="317">
        <f t="shared" si="14"/>
        <v>1000</v>
      </c>
      <c r="M95" s="48" t="s">
        <v>887</v>
      </c>
      <c r="N95" s="291">
        <v>47</v>
      </c>
      <c r="O95" s="289" t="s">
        <v>434</v>
      </c>
      <c r="P95" s="291" t="s">
        <v>376</v>
      </c>
      <c r="Q95" s="291">
        <v>1</v>
      </c>
      <c r="R95" s="320">
        <v>1000</v>
      </c>
      <c r="S95" s="317">
        <f t="shared" si="15"/>
        <v>1000</v>
      </c>
      <c r="T95" s="291" t="s">
        <v>654</v>
      </c>
    </row>
    <row r="96" spans="2:20">
      <c r="B96" s="48" t="s">
        <v>1122</v>
      </c>
      <c r="C96" s="454">
        <v>29</v>
      </c>
      <c r="D96" s="48" t="s">
        <v>1186</v>
      </c>
      <c r="E96" s="48" t="s">
        <v>1132</v>
      </c>
      <c r="F96" s="48">
        <v>1</v>
      </c>
      <c r="G96" s="320">
        <v>1000</v>
      </c>
      <c r="H96" s="317">
        <f t="shared" si="14"/>
        <v>1000</v>
      </c>
      <c r="M96" s="48" t="s">
        <v>887</v>
      </c>
      <c r="N96" s="291">
        <v>48</v>
      </c>
      <c r="O96" s="289" t="s">
        <v>463</v>
      </c>
      <c r="P96" s="291" t="s">
        <v>376</v>
      </c>
      <c r="Q96" s="291">
        <v>50</v>
      </c>
      <c r="R96" s="320">
        <v>1000</v>
      </c>
      <c r="S96" s="317">
        <f t="shared" si="15"/>
        <v>50000</v>
      </c>
      <c r="T96" s="291" t="s">
        <v>372</v>
      </c>
    </row>
    <row r="97" spans="2:20">
      <c r="B97" s="48" t="s">
        <v>1122</v>
      </c>
      <c r="C97" s="454">
        <v>30</v>
      </c>
      <c r="D97" s="48" t="s">
        <v>1188</v>
      </c>
      <c r="E97" s="48" t="s">
        <v>1038</v>
      </c>
      <c r="F97" s="48">
        <v>1</v>
      </c>
      <c r="G97" s="320">
        <v>1000</v>
      </c>
      <c r="H97" s="317">
        <f t="shared" si="14"/>
        <v>1000</v>
      </c>
      <c r="M97" s="48" t="s">
        <v>887</v>
      </c>
      <c r="N97" s="291">
        <v>49</v>
      </c>
      <c r="O97" s="289" t="s">
        <v>464</v>
      </c>
      <c r="P97" s="291" t="s">
        <v>376</v>
      </c>
      <c r="Q97" s="291">
        <v>1</v>
      </c>
      <c r="R97" s="320">
        <v>1000</v>
      </c>
      <c r="S97" s="317">
        <f t="shared" si="15"/>
        <v>1000</v>
      </c>
      <c r="T97" s="291" t="s">
        <v>654</v>
      </c>
    </row>
    <row r="98" spans="2:20">
      <c r="B98" s="48" t="s">
        <v>1122</v>
      </c>
      <c r="C98" s="454">
        <v>31</v>
      </c>
      <c r="D98" s="48" t="s">
        <v>1190</v>
      </c>
      <c r="E98" s="48" t="s">
        <v>564</v>
      </c>
      <c r="F98" s="48">
        <v>1</v>
      </c>
      <c r="G98" s="320">
        <v>1000</v>
      </c>
      <c r="H98" s="317">
        <f t="shared" si="14"/>
        <v>1000</v>
      </c>
      <c r="M98" s="48" t="s">
        <v>887</v>
      </c>
      <c r="N98" s="291">
        <v>50</v>
      </c>
      <c r="O98" s="289" t="s">
        <v>465</v>
      </c>
      <c r="P98" s="291" t="s">
        <v>376</v>
      </c>
      <c r="Q98" s="291">
        <v>1</v>
      </c>
      <c r="R98" s="320">
        <v>1000</v>
      </c>
      <c r="S98" s="317">
        <f t="shared" si="15"/>
        <v>1000</v>
      </c>
      <c r="T98" s="291" t="s">
        <v>654</v>
      </c>
    </row>
    <row r="99" spans="2:20">
      <c r="B99" s="48" t="s">
        <v>1122</v>
      </c>
      <c r="C99" s="454">
        <v>32</v>
      </c>
      <c r="D99" s="48" t="s">
        <v>1192</v>
      </c>
      <c r="E99" s="48" t="s">
        <v>1193</v>
      </c>
      <c r="F99" s="48">
        <v>1</v>
      </c>
      <c r="G99" s="320">
        <v>1000</v>
      </c>
      <c r="H99" s="317">
        <f t="shared" si="14"/>
        <v>1000</v>
      </c>
      <c r="M99" s="48" t="s">
        <v>887</v>
      </c>
      <c r="N99" s="291">
        <v>51</v>
      </c>
      <c r="O99" s="289" t="s">
        <v>418</v>
      </c>
      <c r="P99" s="291" t="s">
        <v>376</v>
      </c>
      <c r="Q99" s="291">
        <v>2</v>
      </c>
      <c r="R99" s="320">
        <v>1000</v>
      </c>
      <c r="S99" s="317">
        <f t="shared" si="15"/>
        <v>2000</v>
      </c>
      <c r="T99" s="291" t="s">
        <v>655</v>
      </c>
    </row>
    <row r="100" spans="2:20">
      <c r="B100" s="48" t="s">
        <v>1122</v>
      </c>
      <c r="C100" s="454">
        <v>33</v>
      </c>
      <c r="D100" s="48" t="s">
        <v>1195</v>
      </c>
      <c r="E100" s="48" t="s">
        <v>1132</v>
      </c>
      <c r="F100" s="48">
        <v>1</v>
      </c>
      <c r="G100" s="320">
        <v>1000</v>
      </c>
      <c r="H100" s="317">
        <f t="shared" si="14"/>
        <v>1000</v>
      </c>
      <c r="M100" s="48" t="s">
        <v>39</v>
      </c>
      <c r="N100" s="291">
        <v>1</v>
      </c>
      <c r="O100" s="289" t="s">
        <v>466</v>
      </c>
      <c r="P100" s="291" t="s">
        <v>376</v>
      </c>
      <c r="Q100" s="291">
        <v>1</v>
      </c>
      <c r="R100" s="320">
        <v>1000</v>
      </c>
      <c r="S100" s="317">
        <f t="shared" si="15"/>
        <v>1000</v>
      </c>
      <c r="T100" s="291" t="s">
        <v>372</v>
      </c>
    </row>
    <row r="101" spans="2:20">
      <c r="B101" s="48" t="s">
        <v>1122</v>
      </c>
      <c r="C101" s="454">
        <v>34</v>
      </c>
      <c r="D101" s="48" t="s">
        <v>1197</v>
      </c>
      <c r="E101" s="48" t="s">
        <v>1132</v>
      </c>
      <c r="F101" s="48">
        <v>1</v>
      </c>
      <c r="G101" s="320">
        <v>1000</v>
      </c>
      <c r="H101" s="317">
        <f t="shared" si="14"/>
        <v>1000</v>
      </c>
      <c r="M101" s="48" t="s">
        <v>39</v>
      </c>
      <c r="N101" s="291">
        <v>2</v>
      </c>
      <c r="O101" s="289" t="s">
        <v>467</v>
      </c>
      <c r="P101" s="291" t="s">
        <v>376</v>
      </c>
      <c r="Q101" s="291">
        <v>1</v>
      </c>
      <c r="R101" s="320">
        <v>1000</v>
      </c>
      <c r="S101" s="317">
        <f t="shared" si="15"/>
        <v>1000</v>
      </c>
      <c r="T101" s="291" t="s">
        <v>372</v>
      </c>
    </row>
    <row r="102" spans="2:20">
      <c r="B102" s="48" t="s">
        <v>1122</v>
      </c>
      <c r="C102" s="454">
        <v>35</v>
      </c>
      <c r="D102" s="48" t="s">
        <v>1199</v>
      </c>
      <c r="E102" s="48" t="s">
        <v>1132</v>
      </c>
      <c r="F102" s="48">
        <v>1</v>
      </c>
      <c r="G102" s="320">
        <v>1000</v>
      </c>
      <c r="H102" s="317">
        <f t="shared" si="14"/>
        <v>1000</v>
      </c>
      <c r="M102" s="48" t="s">
        <v>39</v>
      </c>
      <c r="N102" s="291">
        <v>3</v>
      </c>
      <c r="O102" s="289" t="s">
        <v>468</v>
      </c>
      <c r="P102" s="291" t="s">
        <v>376</v>
      </c>
      <c r="Q102" s="291">
        <v>1</v>
      </c>
      <c r="R102" s="320">
        <v>1000</v>
      </c>
      <c r="S102" s="317">
        <f t="shared" si="15"/>
        <v>1000</v>
      </c>
      <c r="T102" s="291" t="s">
        <v>372</v>
      </c>
    </row>
    <row r="103" spans="2:20">
      <c r="B103" s="48" t="s">
        <v>1122</v>
      </c>
      <c r="C103" s="454">
        <v>36</v>
      </c>
      <c r="D103" s="48" t="s">
        <v>613</v>
      </c>
      <c r="E103" s="48" t="s">
        <v>1132</v>
      </c>
      <c r="F103" s="48">
        <v>1</v>
      </c>
      <c r="G103" s="320">
        <v>1000</v>
      </c>
      <c r="H103" s="317">
        <f t="shared" si="14"/>
        <v>1000</v>
      </c>
      <c r="M103" s="48" t="s">
        <v>39</v>
      </c>
      <c r="N103" s="291">
        <v>4</v>
      </c>
      <c r="O103" s="289" t="s">
        <v>469</v>
      </c>
      <c r="P103" s="291" t="s">
        <v>376</v>
      </c>
      <c r="Q103" s="291">
        <v>1</v>
      </c>
      <c r="R103" s="320">
        <v>1000</v>
      </c>
      <c r="S103" s="317">
        <f t="shared" si="15"/>
        <v>1000</v>
      </c>
      <c r="T103" s="291" t="s">
        <v>372</v>
      </c>
    </row>
    <row r="104" spans="2:20">
      <c r="B104" s="48" t="s">
        <v>1123</v>
      </c>
      <c r="C104" s="454">
        <v>39</v>
      </c>
      <c r="D104" s="48" t="s">
        <v>1203</v>
      </c>
      <c r="G104" s="320">
        <v>1000</v>
      </c>
      <c r="H104" s="317">
        <f t="shared" si="14"/>
        <v>0</v>
      </c>
      <c r="M104" s="48" t="s">
        <v>39</v>
      </c>
      <c r="N104" s="291">
        <v>5</v>
      </c>
      <c r="O104" s="289" t="s">
        <v>470</v>
      </c>
      <c r="P104" s="291" t="s">
        <v>376</v>
      </c>
      <c r="Q104" s="291">
        <v>1</v>
      </c>
      <c r="R104" s="320">
        <v>1000</v>
      </c>
      <c r="S104" s="317">
        <f t="shared" si="15"/>
        <v>1000</v>
      </c>
      <c r="T104" s="291" t="s">
        <v>372</v>
      </c>
    </row>
    <row r="105" spans="2:20">
      <c r="B105" s="48" t="s">
        <v>1123</v>
      </c>
      <c r="C105" s="454">
        <v>40</v>
      </c>
      <c r="D105" s="48" t="s">
        <v>1204</v>
      </c>
      <c r="E105" s="48" t="s">
        <v>564</v>
      </c>
      <c r="F105" s="48">
        <v>1</v>
      </c>
      <c r="G105" s="320">
        <v>1000</v>
      </c>
      <c r="H105" s="317">
        <f t="shared" si="14"/>
        <v>1000</v>
      </c>
      <c r="M105" s="48" t="s">
        <v>39</v>
      </c>
      <c r="N105" s="291">
        <v>6</v>
      </c>
      <c r="O105" s="289" t="s">
        <v>471</v>
      </c>
      <c r="P105" s="291" t="s">
        <v>376</v>
      </c>
      <c r="Q105" s="291">
        <v>1</v>
      </c>
      <c r="R105" s="320">
        <v>1000</v>
      </c>
      <c r="S105" s="317">
        <f t="shared" si="15"/>
        <v>1000</v>
      </c>
      <c r="T105" s="291" t="s">
        <v>372</v>
      </c>
    </row>
    <row r="106" spans="2:20">
      <c r="B106" s="48" t="s">
        <v>1123</v>
      </c>
      <c r="C106" s="454">
        <v>41</v>
      </c>
      <c r="D106" s="48" t="s">
        <v>1205</v>
      </c>
      <c r="E106" s="48" t="s">
        <v>1132</v>
      </c>
      <c r="F106" s="48">
        <v>1</v>
      </c>
      <c r="G106" s="320">
        <v>1000</v>
      </c>
      <c r="H106" s="317">
        <f t="shared" si="14"/>
        <v>1000</v>
      </c>
      <c r="M106" s="48" t="s">
        <v>39</v>
      </c>
      <c r="N106" s="291">
        <v>7</v>
      </c>
      <c r="O106" s="289" t="s">
        <v>472</v>
      </c>
      <c r="P106" s="291" t="s">
        <v>376</v>
      </c>
      <c r="Q106" s="291">
        <v>1</v>
      </c>
      <c r="R106" s="320">
        <v>1000</v>
      </c>
      <c r="S106" s="317">
        <f t="shared" si="15"/>
        <v>1000</v>
      </c>
      <c r="T106" s="291" t="s">
        <v>372</v>
      </c>
    </row>
    <row r="107" spans="2:20">
      <c r="B107" s="48" t="s">
        <v>1123</v>
      </c>
      <c r="C107" s="454">
        <v>42</v>
      </c>
      <c r="D107" s="48" t="s">
        <v>1206</v>
      </c>
      <c r="E107" s="48" t="s">
        <v>1132</v>
      </c>
      <c r="F107" s="48">
        <v>1</v>
      </c>
      <c r="G107" s="320">
        <v>1000</v>
      </c>
      <c r="H107" s="317">
        <f t="shared" si="14"/>
        <v>1000</v>
      </c>
      <c r="M107" s="48" t="s">
        <v>39</v>
      </c>
      <c r="N107" s="291">
        <v>8</v>
      </c>
      <c r="O107" s="289" t="s">
        <v>473</v>
      </c>
      <c r="P107" s="291" t="s">
        <v>376</v>
      </c>
      <c r="Q107" s="291">
        <v>2</v>
      </c>
      <c r="R107" s="320">
        <v>1000</v>
      </c>
      <c r="S107" s="317">
        <f t="shared" si="15"/>
        <v>2000</v>
      </c>
      <c r="T107" s="291" t="s">
        <v>372</v>
      </c>
    </row>
    <row r="108" spans="2:20">
      <c r="B108" s="48" t="s">
        <v>1123</v>
      </c>
      <c r="C108" s="454">
        <v>43</v>
      </c>
      <c r="D108" s="48" t="s">
        <v>405</v>
      </c>
      <c r="E108" s="48" t="s">
        <v>1038</v>
      </c>
      <c r="F108" s="48">
        <v>1</v>
      </c>
      <c r="G108" s="320">
        <v>1000</v>
      </c>
      <c r="H108" s="317">
        <f t="shared" si="14"/>
        <v>1000</v>
      </c>
      <c r="M108" s="48" t="s">
        <v>39</v>
      </c>
      <c r="N108" s="291">
        <v>9</v>
      </c>
      <c r="O108" s="289" t="s">
        <v>474</v>
      </c>
      <c r="P108" s="291" t="s">
        <v>376</v>
      </c>
      <c r="Q108" s="291">
        <v>1</v>
      </c>
      <c r="R108" s="320">
        <v>1000</v>
      </c>
      <c r="S108" s="317">
        <f t="shared" si="15"/>
        <v>1000</v>
      </c>
      <c r="T108" s="291" t="s">
        <v>372</v>
      </c>
    </row>
    <row r="109" spans="2:20">
      <c r="B109" s="48" t="s">
        <v>1123</v>
      </c>
      <c r="C109" s="454">
        <v>44</v>
      </c>
      <c r="D109" s="48" t="s">
        <v>1207</v>
      </c>
      <c r="E109" s="48" t="s">
        <v>1132</v>
      </c>
      <c r="F109" s="48">
        <v>2</v>
      </c>
      <c r="G109" s="320">
        <v>1000</v>
      </c>
      <c r="H109" s="317">
        <f t="shared" si="14"/>
        <v>2000</v>
      </c>
      <c r="M109" s="48" t="s">
        <v>39</v>
      </c>
      <c r="N109" s="291">
        <v>10</v>
      </c>
      <c r="O109" s="289" t="s">
        <v>475</v>
      </c>
      <c r="P109" s="291" t="s">
        <v>376</v>
      </c>
      <c r="Q109" s="291">
        <v>1</v>
      </c>
      <c r="R109" s="320">
        <v>1000</v>
      </c>
      <c r="S109" s="317">
        <f t="shared" si="15"/>
        <v>1000</v>
      </c>
      <c r="T109" s="291" t="s">
        <v>372</v>
      </c>
    </row>
    <row r="110" spans="2:20">
      <c r="B110" s="48" t="s">
        <v>1123</v>
      </c>
      <c r="C110" s="454">
        <v>45</v>
      </c>
      <c r="D110" s="48" t="s">
        <v>1208</v>
      </c>
      <c r="E110" s="48" t="s">
        <v>564</v>
      </c>
      <c r="F110" s="48">
        <v>1</v>
      </c>
      <c r="G110" s="320">
        <v>1000</v>
      </c>
      <c r="H110" s="317">
        <f t="shared" si="14"/>
        <v>1000</v>
      </c>
      <c r="M110" s="48" t="s">
        <v>39</v>
      </c>
      <c r="N110" s="291">
        <v>11</v>
      </c>
      <c r="O110" s="289" t="s">
        <v>476</v>
      </c>
      <c r="P110" s="291" t="s">
        <v>376</v>
      </c>
      <c r="Q110" s="291">
        <v>1</v>
      </c>
      <c r="R110" s="320">
        <v>1000</v>
      </c>
      <c r="S110" s="317">
        <f t="shared" si="15"/>
        <v>1000</v>
      </c>
      <c r="T110" s="291" t="s">
        <v>372</v>
      </c>
    </row>
    <row r="111" spans="2:20">
      <c r="B111" s="48" t="s">
        <v>1123</v>
      </c>
      <c r="C111" s="454">
        <v>46</v>
      </c>
      <c r="D111" s="48" t="s">
        <v>1209</v>
      </c>
      <c r="E111" s="48" t="s">
        <v>1132</v>
      </c>
      <c r="F111" s="48">
        <v>1</v>
      </c>
      <c r="G111" s="320">
        <v>1000</v>
      </c>
      <c r="H111" s="317">
        <f t="shared" si="14"/>
        <v>1000</v>
      </c>
      <c r="M111" s="48" t="s">
        <v>39</v>
      </c>
      <c r="N111" s="291">
        <v>12</v>
      </c>
      <c r="O111" s="289" t="s">
        <v>433</v>
      </c>
      <c r="P111" s="291" t="s">
        <v>376</v>
      </c>
      <c r="Q111" s="291">
        <v>1</v>
      </c>
      <c r="R111" s="320">
        <v>1000</v>
      </c>
      <c r="S111" s="317">
        <f t="shared" si="15"/>
        <v>1000</v>
      </c>
      <c r="T111" s="291" t="s">
        <v>372</v>
      </c>
    </row>
    <row r="112" spans="2:20">
      <c r="B112" s="48" t="s">
        <v>1123</v>
      </c>
      <c r="C112" s="454">
        <v>47</v>
      </c>
      <c r="D112" s="48" t="s">
        <v>1210</v>
      </c>
      <c r="E112" s="48" t="s">
        <v>1038</v>
      </c>
      <c r="F112" s="48">
        <v>2</v>
      </c>
      <c r="G112" s="320">
        <v>1000</v>
      </c>
      <c r="H112" s="317">
        <f t="shared" si="14"/>
        <v>2000</v>
      </c>
      <c r="M112" s="48" t="s">
        <v>39</v>
      </c>
      <c r="N112" s="291">
        <v>13</v>
      </c>
      <c r="O112" s="289" t="s">
        <v>477</v>
      </c>
      <c r="P112" s="291" t="s">
        <v>376</v>
      </c>
      <c r="Q112" s="291">
        <v>1</v>
      </c>
      <c r="R112" s="320">
        <v>1000</v>
      </c>
      <c r="S112" s="317">
        <f t="shared" si="15"/>
        <v>1000</v>
      </c>
      <c r="T112" s="291" t="s">
        <v>372</v>
      </c>
    </row>
    <row r="113" spans="2:20">
      <c r="B113" s="48" t="s">
        <v>1123</v>
      </c>
      <c r="C113" s="454">
        <v>48</v>
      </c>
      <c r="D113" s="48" t="s">
        <v>1211</v>
      </c>
      <c r="E113" s="48" t="s">
        <v>564</v>
      </c>
      <c r="F113" s="48">
        <v>2</v>
      </c>
      <c r="G113" s="320">
        <v>1000</v>
      </c>
      <c r="H113" s="317">
        <f t="shared" si="14"/>
        <v>2000</v>
      </c>
      <c r="M113" s="48" t="s">
        <v>39</v>
      </c>
      <c r="N113" s="291">
        <v>14</v>
      </c>
      <c r="O113" s="289" t="s">
        <v>436</v>
      </c>
      <c r="P113" s="291" t="s">
        <v>376</v>
      </c>
      <c r="Q113" s="291">
        <v>1</v>
      </c>
      <c r="R113" s="320">
        <v>1000</v>
      </c>
      <c r="S113" s="317">
        <f t="shared" si="15"/>
        <v>1000</v>
      </c>
      <c r="T113" s="291" t="s">
        <v>372</v>
      </c>
    </row>
    <row r="114" spans="2:20">
      <c r="B114" s="48" t="s">
        <v>1123</v>
      </c>
      <c r="C114" s="454">
        <v>49</v>
      </c>
      <c r="D114" s="48" t="s">
        <v>1212</v>
      </c>
      <c r="E114" s="48" t="s">
        <v>622</v>
      </c>
      <c r="F114" s="48">
        <v>3</v>
      </c>
      <c r="G114" s="320">
        <v>1000</v>
      </c>
      <c r="H114" s="317">
        <f t="shared" si="14"/>
        <v>3000</v>
      </c>
      <c r="M114" s="48" t="s">
        <v>39</v>
      </c>
      <c r="N114" s="291">
        <v>15</v>
      </c>
      <c r="O114" s="289" t="s">
        <v>443</v>
      </c>
      <c r="P114" s="291" t="s">
        <v>376</v>
      </c>
      <c r="Q114" s="291">
        <v>1</v>
      </c>
      <c r="R114" s="320">
        <v>1000</v>
      </c>
      <c r="S114" s="317">
        <f t="shared" si="15"/>
        <v>1000</v>
      </c>
      <c r="T114" s="291" t="s">
        <v>372</v>
      </c>
    </row>
    <row r="115" spans="2:20">
      <c r="B115" s="48" t="s">
        <v>1123</v>
      </c>
      <c r="C115" s="454">
        <v>50</v>
      </c>
      <c r="D115" s="48" t="s">
        <v>1142</v>
      </c>
      <c r="E115" s="48" t="s">
        <v>622</v>
      </c>
      <c r="F115" s="48">
        <v>3</v>
      </c>
      <c r="G115" s="320">
        <v>1000</v>
      </c>
      <c r="H115" s="317">
        <f t="shared" si="14"/>
        <v>3000</v>
      </c>
      <c r="M115" s="48" t="s">
        <v>39</v>
      </c>
      <c r="N115" s="291">
        <v>16</v>
      </c>
      <c r="O115" s="289" t="s">
        <v>478</v>
      </c>
      <c r="P115" s="291" t="s">
        <v>376</v>
      </c>
      <c r="Q115" s="291">
        <v>1</v>
      </c>
      <c r="R115" s="320">
        <v>1000</v>
      </c>
      <c r="S115" s="317">
        <f t="shared" si="15"/>
        <v>1000</v>
      </c>
      <c r="T115" s="291" t="s">
        <v>372</v>
      </c>
    </row>
    <row r="116" spans="2:20">
      <c r="B116" s="48" t="s">
        <v>1123</v>
      </c>
      <c r="C116" s="454">
        <v>51</v>
      </c>
      <c r="D116" s="48" t="s">
        <v>1144</v>
      </c>
      <c r="E116" s="48" t="s">
        <v>622</v>
      </c>
      <c r="F116" s="48">
        <v>3</v>
      </c>
      <c r="G116" s="320">
        <v>1000</v>
      </c>
      <c r="H116" s="317">
        <f t="shared" si="14"/>
        <v>3000</v>
      </c>
      <c r="M116" s="48" t="s">
        <v>39</v>
      </c>
      <c r="N116" s="291">
        <v>17</v>
      </c>
      <c r="O116" s="289" t="s">
        <v>440</v>
      </c>
      <c r="P116" s="291" t="s">
        <v>376</v>
      </c>
      <c r="Q116" s="291">
        <v>3</v>
      </c>
      <c r="R116" s="320">
        <v>1000</v>
      </c>
      <c r="S116" s="317">
        <f t="shared" si="15"/>
        <v>3000</v>
      </c>
      <c r="T116" s="291" t="s">
        <v>372</v>
      </c>
    </row>
    <row r="117" spans="2:20">
      <c r="B117" s="48" t="s">
        <v>1123</v>
      </c>
      <c r="C117" s="454">
        <v>52</v>
      </c>
      <c r="D117" s="48" t="s">
        <v>1146</v>
      </c>
      <c r="E117" s="48" t="s">
        <v>622</v>
      </c>
      <c r="F117" s="48">
        <v>3</v>
      </c>
      <c r="G117" s="320">
        <v>1000</v>
      </c>
      <c r="H117" s="317">
        <f t="shared" si="14"/>
        <v>3000</v>
      </c>
      <c r="M117" s="48" t="s">
        <v>39</v>
      </c>
      <c r="N117" s="291">
        <v>18</v>
      </c>
      <c r="O117" s="289" t="s">
        <v>424</v>
      </c>
      <c r="P117" s="291" t="s">
        <v>376</v>
      </c>
      <c r="Q117" s="291">
        <v>50</v>
      </c>
      <c r="R117" s="320">
        <v>1000</v>
      </c>
      <c r="S117" s="317">
        <f t="shared" si="15"/>
        <v>50000</v>
      </c>
      <c r="T117" s="291" t="s">
        <v>654</v>
      </c>
    </row>
    <row r="118" spans="2:20" ht="51">
      <c r="B118" s="48" t="s">
        <v>1123</v>
      </c>
      <c r="C118" s="454">
        <v>53</v>
      </c>
      <c r="D118" s="48" t="s">
        <v>1213</v>
      </c>
      <c r="E118" s="48" t="s">
        <v>1038</v>
      </c>
      <c r="F118" s="48">
        <v>1</v>
      </c>
      <c r="G118" s="320">
        <v>1000</v>
      </c>
      <c r="H118" s="317">
        <f t="shared" si="14"/>
        <v>1000</v>
      </c>
      <c r="M118" s="48" t="s">
        <v>39</v>
      </c>
      <c r="N118" s="291">
        <v>19</v>
      </c>
      <c r="O118" s="289" t="s">
        <v>425</v>
      </c>
      <c r="P118" s="291" t="s">
        <v>426</v>
      </c>
      <c r="Q118" s="291"/>
      <c r="R118" s="320">
        <v>1000</v>
      </c>
      <c r="S118" s="317">
        <f t="shared" si="15"/>
        <v>0</v>
      </c>
      <c r="T118" s="291" t="s">
        <v>372</v>
      </c>
    </row>
    <row r="119" spans="2:20">
      <c r="B119" s="48" t="s">
        <v>1123</v>
      </c>
      <c r="C119" s="454">
        <v>54</v>
      </c>
      <c r="D119" s="48" t="s">
        <v>1214</v>
      </c>
      <c r="E119" s="48" t="s">
        <v>564</v>
      </c>
      <c r="F119" s="48">
        <v>1</v>
      </c>
      <c r="G119" s="320">
        <v>1000</v>
      </c>
      <c r="H119" s="317">
        <f t="shared" si="14"/>
        <v>1000</v>
      </c>
      <c r="M119" s="48" t="s">
        <v>39</v>
      </c>
      <c r="N119" s="291">
        <v>20</v>
      </c>
      <c r="O119" s="289" t="s">
        <v>427</v>
      </c>
      <c r="P119" s="291" t="s">
        <v>376</v>
      </c>
      <c r="Q119" s="291">
        <v>1</v>
      </c>
      <c r="R119" s="320">
        <v>1000</v>
      </c>
      <c r="S119" s="317">
        <f t="shared" si="15"/>
        <v>1000</v>
      </c>
      <c r="T119" s="291" t="s">
        <v>372</v>
      </c>
    </row>
    <row r="120" spans="2:20">
      <c r="B120" s="48" t="s">
        <v>1123</v>
      </c>
      <c r="C120" s="454">
        <v>55</v>
      </c>
      <c r="D120" s="48" t="s">
        <v>1215</v>
      </c>
      <c r="E120" s="48" t="s">
        <v>1132</v>
      </c>
      <c r="F120" s="48">
        <v>1</v>
      </c>
      <c r="G120" s="320">
        <v>1000</v>
      </c>
      <c r="H120" s="317">
        <f t="shared" si="14"/>
        <v>1000</v>
      </c>
      <c r="M120" s="48" t="s">
        <v>39</v>
      </c>
      <c r="N120" s="291">
        <v>21</v>
      </c>
      <c r="O120" s="289" t="s">
        <v>428</v>
      </c>
      <c r="P120" s="291" t="s">
        <v>376</v>
      </c>
      <c r="Q120" s="291">
        <v>1</v>
      </c>
      <c r="R120" s="320">
        <v>1000</v>
      </c>
      <c r="S120" s="317">
        <f t="shared" si="15"/>
        <v>1000</v>
      </c>
      <c r="T120" s="291" t="s">
        <v>372</v>
      </c>
    </row>
    <row r="121" spans="2:20">
      <c r="B121" s="48" t="s">
        <v>1123</v>
      </c>
      <c r="C121" s="454">
        <v>56</v>
      </c>
      <c r="D121" s="48" t="s">
        <v>1216</v>
      </c>
      <c r="E121" s="48" t="s">
        <v>1132</v>
      </c>
      <c r="G121" s="320">
        <v>1000</v>
      </c>
      <c r="H121" s="317">
        <f t="shared" si="14"/>
        <v>0</v>
      </c>
      <c r="M121" s="48" t="s">
        <v>39</v>
      </c>
      <c r="N121" s="291">
        <v>22</v>
      </c>
      <c r="O121" s="289" t="s">
        <v>429</v>
      </c>
      <c r="P121" s="291" t="s">
        <v>376</v>
      </c>
      <c r="Q121" s="291">
        <v>1</v>
      </c>
      <c r="R121" s="320">
        <v>1000</v>
      </c>
      <c r="S121" s="317">
        <f t="shared" si="15"/>
        <v>1000</v>
      </c>
      <c r="T121" s="291" t="s">
        <v>372</v>
      </c>
    </row>
    <row r="122" spans="2:20">
      <c r="B122" s="48" t="s">
        <v>1123</v>
      </c>
      <c r="C122" s="454">
        <v>57</v>
      </c>
      <c r="D122" s="48" t="s">
        <v>1163</v>
      </c>
      <c r="E122" s="48" t="s">
        <v>1132</v>
      </c>
      <c r="G122" s="320">
        <v>1000</v>
      </c>
      <c r="H122" s="317">
        <f t="shared" si="14"/>
        <v>0</v>
      </c>
      <c r="M122" s="48" t="s">
        <v>39</v>
      </c>
      <c r="N122" s="291">
        <v>23</v>
      </c>
      <c r="O122" s="289" t="s">
        <v>479</v>
      </c>
      <c r="P122" s="291" t="s">
        <v>376</v>
      </c>
      <c r="Q122" s="291">
        <v>1</v>
      </c>
      <c r="R122" s="320">
        <v>1000</v>
      </c>
      <c r="S122" s="317">
        <f t="shared" si="15"/>
        <v>1000</v>
      </c>
      <c r="T122" s="291" t="s">
        <v>372</v>
      </c>
    </row>
    <row r="123" spans="2:20">
      <c r="B123" s="48" t="s">
        <v>1123</v>
      </c>
      <c r="C123" s="454">
        <v>58</v>
      </c>
      <c r="D123" s="48" t="s">
        <v>1217</v>
      </c>
      <c r="E123" s="48" t="s">
        <v>1132</v>
      </c>
      <c r="F123" s="48">
        <v>3</v>
      </c>
      <c r="G123" s="320">
        <v>1000</v>
      </c>
      <c r="H123" s="317">
        <f t="shared" si="14"/>
        <v>3000</v>
      </c>
      <c r="M123" s="48" t="s">
        <v>39</v>
      </c>
      <c r="N123" s="291">
        <v>24</v>
      </c>
      <c r="O123" s="289" t="s">
        <v>447</v>
      </c>
      <c r="P123" s="291" t="s">
        <v>376</v>
      </c>
      <c r="Q123" s="291">
        <v>4</v>
      </c>
      <c r="R123" s="320">
        <v>1000</v>
      </c>
      <c r="S123" s="317">
        <f t="shared" si="15"/>
        <v>4000</v>
      </c>
      <c r="T123" s="291" t="s">
        <v>372</v>
      </c>
    </row>
    <row r="124" spans="2:20">
      <c r="B124" s="48" t="s">
        <v>1123</v>
      </c>
      <c r="C124" s="454">
        <v>59</v>
      </c>
      <c r="D124" s="48" t="s">
        <v>1218</v>
      </c>
      <c r="E124" s="48" t="s">
        <v>1132</v>
      </c>
      <c r="F124" s="48">
        <v>4</v>
      </c>
      <c r="G124" s="320">
        <v>1000</v>
      </c>
      <c r="H124" s="317">
        <f t="shared" si="14"/>
        <v>4000</v>
      </c>
      <c r="M124" s="48" t="s">
        <v>39</v>
      </c>
      <c r="N124" s="291">
        <v>25</v>
      </c>
      <c r="O124" s="289" t="s">
        <v>480</v>
      </c>
      <c r="P124" s="291" t="s">
        <v>376</v>
      </c>
      <c r="Q124" s="291">
        <v>2</v>
      </c>
      <c r="R124" s="320">
        <v>1000</v>
      </c>
      <c r="S124" s="317">
        <f t="shared" si="15"/>
        <v>2000</v>
      </c>
      <c r="T124" s="291" t="s">
        <v>372</v>
      </c>
    </row>
    <row r="125" spans="2:20">
      <c r="B125" s="48" t="s">
        <v>1123</v>
      </c>
      <c r="C125" s="454">
        <v>60</v>
      </c>
      <c r="D125" s="48" t="s">
        <v>1219</v>
      </c>
      <c r="E125" s="48" t="s">
        <v>1132</v>
      </c>
      <c r="F125" s="48">
        <v>3</v>
      </c>
      <c r="G125" s="320">
        <v>1000</v>
      </c>
      <c r="H125" s="317">
        <f t="shared" si="14"/>
        <v>3000</v>
      </c>
      <c r="M125" s="48" t="s">
        <v>39</v>
      </c>
      <c r="N125" s="291">
        <v>26</v>
      </c>
      <c r="O125" s="289" t="s">
        <v>481</v>
      </c>
      <c r="P125" s="291" t="s">
        <v>376</v>
      </c>
      <c r="Q125" s="291">
        <v>1</v>
      </c>
      <c r="R125" s="320">
        <v>1000</v>
      </c>
      <c r="S125" s="317">
        <f t="shared" si="15"/>
        <v>1000</v>
      </c>
      <c r="T125" s="291" t="s">
        <v>372</v>
      </c>
    </row>
    <row r="126" spans="2:20">
      <c r="B126" s="48" t="s">
        <v>1123</v>
      </c>
      <c r="C126" s="454">
        <v>61</v>
      </c>
      <c r="D126" s="48" t="s">
        <v>1220</v>
      </c>
      <c r="E126" s="48" t="s">
        <v>1038</v>
      </c>
      <c r="F126" s="48">
        <v>1</v>
      </c>
      <c r="G126" s="320">
        <v>1000</v>
      </c>
      <c r="H126" s="317">
        <f t="shared" si="14"/>
        <v>1000</v>
      </c>
      <c r="M126" s="48" t="s">
        <v>39</v>
      </c>
      <c r="N126" s="291">
        <v>27</v>
      </c>
      <c r="O126" s="289" t="s">
        <v>482</v>
      </c>
      <c r="P126" s="291" t="s">
        <v>376</v>
      </c>
      <c r="Q126" s="291">
        <v>2</v>
      </c>
      <c r="R126" s="320">
        <v>1000</v>
      </c>
      <c r="S126" s="317">
        <f t="shared" si="15"/>
        <v>2000</v>
      </c>
      <c r="T126" s="291" t="s">
        <v>372</v>
      </c>
    </row>
    <row r="127" spans="2:20">
      <c r="B127" s="48" t="s">
        <v>1123</v>
      </c>
      <c r="C127" s="454">
        <v>63</v>
      </c>
      <c r="D127" s="48" t="s">
        <v>1192</v>
      </c>
      <c r="G127" s="320">
        <v>1000</v>
      </c>
      <c r="H127" s="317">
        <f t="shared" si="14"/>
        <v>0</v>
      </c>
      <c r="M127" s="48" t="s">
        <v>39</v>
      </c>
      <c r="N127" s="291">
        <v>28</v>
      </c>
      <c r="O127" s="289" t="s">
        <v>483</v>
      </c>
      <c r="P127" s="291" t="s">
        <v>376</v>
      </c>
      <c r="Q127" s="291">
        <v>3</v>
      </c>
      <c r="R127" s="320">
        <v>1000</v>
      </c>
      <c r="S127" s="317">
        <f t="shared" si="15"/>
        <v>3000</v>
      </c>
      <c r="T127" s="291" t="s">
        <v>654</v>
      </c>
    </row>
    <row r="128" spans="2:20" ht="14.25">
      <c r="B128" s="48" t="s">
        <v>188</v>
      </c>
      <c r="C128" s="454">
        <v>70</v>
      </c>
      <c r="D128" s="48" t="s">
        <v>1221</v>
      </c>
      <c r="E128" s="48" t="s">
        <v>564</v>
      </c>
      <c r="F128" s="48">
        <v>1</v>
      </c>
      <c r="G128" s="320">
        <v>1000</v>
      </c>
      <c r="H128" s="317">
        <f t="shared" ref="H128:H187" si="16">G128*F128</f>
        <v>1000</v>
      </c>
      <c r="M128" s="48" t="s">
        <v>39</v>
      </c>
      <c r="N128" s="291">
        <v>29</v>
      </c>
      <c r="O128" s="289" t="s">
        <v>445</v>
      </c>
      <c r="P128" s="291" t="s">
        <v>376</v>
      </c>
      <c r="Q128" s="291">
        <v>1</v>
      </c>
      <c r="R128" s="320">
        <v>1000</v>
      </c>
      <c r="S128" s="317">
        <f t="shared" si="15"/>
        <v>1000</v>
      </c>
      <c r="T128" s="291" t="s">
        <v>654</v>
      </c>
    </row>
    <row r="129" spans="2:20" ht="14.25">
      <c r="B129" s="48" t="s">
        <v>26</v>
      </c>
      <c r="C129" s="454">
        <v>71</v>
      </c>
      <c r="D129" s="48" t="s">
        <v>1222</v>
      </c>
      <c r="E129" s="48" t="s">
        <v>1132</v>
      </c>
      <c r="F129" s="48">
        <v>1</v>
      </c>
      <c r="G129" s="320">
        <v>1000</v>
      </c>
      <c r="H129" s="317">
        <f t="shared" si="16"/>
        <v>1000</v>
      </c>
      <c r="M129" s="48" t="s">
        <v>39</v>
      </c>
      <c r="N129" s="291">
        <v>30</v>
      </c>
      <c r="O129" s="289" t="s">
        <v>484</v>
      </c>
      <c r="P129" s="291" t="s">
        <v>376</v>
      </c>
      <c r="Q129" s="291">
        <v>2</v>
      </c>
      <c r="R129" s="320">
        <v>1000</v>
      </c>
      <c r="S129" s="317">
        <f t="shared" si="15"/>
        <v>2000</v>
      </c>
      <c r="T129" s="291" t="s">
        <v>654</v>
      </c>
    </row>
    <row r="130" spans="2:20" ht="14.25">
      <c r="B130" s="48" t="s">
        <v>188</v>
      </c>
      <c r="C130" s="454">
        <v>72</v>
      </c>
      <c r="D130" s="48" t="s">
        <v>529</v>
      </c>
      <c r="E130" s="48" t="s">
        <v>1132</v>
      </c>
      <c r="F130" s="48">
        <v>2</v>
      </c>
      <c r="G130" s="320">
        <v>1000</v>
      </c>
      <c r="H130" s="317">
        <f t="shared" si="16"/>
        <v>2000</v>
      </c>
      <c r="M130" s="48" t="s">
        <v>39</v>
      </c>
      <c r="N130" s="291">
        <v>31</v>
      </c>
      <c r="O130" s="289" t="s">
        <v>485</v>
      </c>
      <c r="P130" s="291" t="s">
        <v>376</v>
      </c>
      <c r="Q130" s="291">
        <v>1</v>
      </c>
      <c r="R130" s="320">
        <v>1000</v>
      </c>
      <c r="S130" s="317">
        <f t="shared" si="15"/>
        <v>1000</v>
      </c>
      <c r="T130" s="291" t="s">
        <v>654</v>
      </c>
    </row>
    <row r="131" spans="2:20" ht="14.25">
      <c r="B131" s="48" t="s">
        <v>188</v>
      </c>
      <c r="C131" s="454">
        <v>73</v>
      </c>
      <c r="D131" s="48" t="s">
        <v>1223</v>
      </c>
      <c r="E131" s="48" t="s">
        <v>1132</v>
      </c>
      <c r="F131" s="48">
        <v>1</v>
      </c>
      <c r="G131" s="320">
        <v>1000</v>
      </c>
      <c r="H131" s="317">
        <f t="shared" si="16"/>
        <v>1000</v>
      </c>
      <c r="M131" s="48" t="s">
        <v>39</v>
      </c>
      <c r="N131" s="291">
        <v>32</v>
      </c>
      <c r="O131" s="289" t="s">
        <v>486</v>
      </c>
      <c r="P131" s="291" t="s">
        <v>376</v>
      </c>
      <c r="Q131" s="291">
        <v>1</v>
      </c>
      <c r="R131" s="320">
        <v>1000</v>
      </c>
      <c r="S131" s="317">
        <f t="shared" si="15"/>
        <v>1000</v>
      </c>
      <c r="T131" s="291" t="s">
        <v>654</v>
      </c>
    </row>
    <row r="132" spans="2:20" ht="14.25">
      <c r="B132" s="48" t="s">
        <v>188</v>
      </c>
      <c r="C132" s="454">
        <v>74</v>
      </c>
      <c r="D132" s="48" t="s">
        <v>1224</v>
      </c>
      <c r="E132" s="48" t="s">
        <v>1132</v>
      </c>
      <c r="F132" s="48">
        <v>1</v>
      </c>
      <c r="G132" s="320">
        <v>1000</v>
      </c>
      <c r="H132" s="317">
        <f t="shared" si="16"/>
        <v>1000</v>
      </c>
      <c r="M132" s="48" t="s">
        <v>39</v>
      </c>
      <c r="N132" s="291">
        <v>33</v>
      </c>
      <c r="O132" s="289" t="s">
        <v>487</v>
      </c>
      <c r="P132" s="291" t="s">
        <v>376</v>
      </c>
      <c r="Q132" s="291">
        <v>2</v>
      </c>
      <c r="R132" s="320">
        <v>1000</v>
      </c>
      <c r="S132" s="317">
        <f t="shared" si="15"/>
        <v>2000</v>
      </c>
      <c r="T132" s="291" t="s">
        <v>654</v>
      </c>
    </row>
    <row r="133" spans="2:20">
      <c r="B133" s="48" t="s">
        <v>188</v>
      </c>
      <c r="C133" s="454">
        <v>75</v>
      </c>
      <c r="D133" s="48" t="s">
        <v>1225</v>
      </c>
      <c r="E133" s="48" t="s">
        <v>1038</v>
      </c>
      <c r="F133" s="48">
        <v>10</v>
      </c>
      <c r="G133" s="320">
        <v>1000</v>
      </c>
      <c r="H133" s="317">
        <f t="shared" si="16"/>
        <v>10000</v>
      </c>
      <c r="M133" s="48" t="s">
        <v>39</v>
      </c>
      <c r="N133" s="291">
        <v>34</v>
      </c>
      <c r="O133" s="289" t="s">
        <v>450</v>
      </c>
      <c r="P133" s="291" t="s">
        <v>376</v>
      </c>
      <c r="Q133" s="291">
        <v>2</v>
      </c>
      <c r="R133" s="320">
        <v>1000</v>
      </c>
      <c r="S133" s="317">
        <f t="shared" si="15"/>
        <v>2000</v>
      </c>
      <c r="T133" s="291" t="s">
        <v>654</v>
      </c>
    </row>
    <row r="134" spans="2:20">
      <c r="B134" s="48" t="s">
        <v>188</v>
      </c>
      <c r="C134" s="454">
        <v>76</v>
      </c>
      <c r="D134" s="48" t="s">
        <v>1226</v>
      </c>
      <c r="E134" s="48" t="s">
        <v>564</v>
      </c>
      <c r="F134" s="48">
        <v>5</v>
      </c>
      <c r="G134" s="320">
        <v>1000</v>
      </c>
      <c r="H134" s="317">
        <f t="shared" si="16"/>
        <v>5000</v>
      </c>
      <c r="M134" s="48" t="s">
        <v>39</v>
      </c>
      <c r="N134" s="291">
        <v>35</v>
      </c>
      <c r="O134" s="289" t="s">
        <v>449</v>
      </c>
      <c r="P134" s="291" t="s">
        <v>376</v>
      </c>
      <c r="Q134" s="291">
        <v>2</v>
      </c>
      <c r="R134" s="320">
        <v>1000</v>
      </c>
      <c r="S134" s="317">
        <f t="shared" si="15"/>
        <v>2000</v>
      </c>
      <c r="T134" s="291" t="s">
        <v>654</v>
      </c>
    </row>
    <row r="135" spans="2:20">
      <c r="B135" s="48" t="s">
        <v>188</v>
      </c>
      <c r="C135" s="454">
        <v>77</v>
      </c>
      <c r="D135" s="48" t="s">
        <v>1227</v>
      </c>
      <c r="E135" s="48" t="s">
        <v>1132</v>
      </c>
      <c r="F135" s="48">
        <v>5</v>
      </c>
      <c r="G135" s="320">
        <v>1000</v>
      </c>
      <c r="H135" s="317">
        <f t="shared" si="16"/>
        <v>5000</v>
      </c>
      <c r="M135" s="48" t="s">
        <v>39</v>
      </c>
      <c r="N135" s="291">
        <v>36</v>
      </c>
      <c r="O135" s="289" t="s">
        <v>430</v>
      </c>
      <c r="P135" s="291" t="s">
        <v>376</v>
      </c>
      <c r="Q135" s="291">
        <v>1</v>
      </c>
      <c r="R135" s="320">
        <v>1000</v>
      </c>
      <c r="S135" s="317">
        <f t="shared" si="15"/>
        <v>1000</v>
      </c>
      <c r="T135" s="291" t="s">
        <v>372</v>
      </c>
    </row>
    <row r="136" spans="2:20">
      <c r="B136" s="48" t="s">
        <v>188</v>
      </c>
      <c r="C136" s="454">
        <v>78</v>
      </c>
      <c r="D136" s="48" t="s">
        <v>1228</v>
      </c>
      <c r="E136" s="48" t="s">
        <v>1132</v>
      </c>
      <c r="F136" s="48">
        <v>5</v>
      </c>
      <c r="G136" s="320">
        <v>1000</v>
      </c>
      <c r="H136" s="317">
        <f t="shared" si="16"/>
        <v>5000</v>
      </c>
      <c r="M136" s="48" t="s">
        <v>39</v>
      </c>
      <c r="N136" s="291">
        <v>37</v>
      </c>
      <c r="O136" s="289" t="s">
        <v>488</v>
      </c>
      <c r="P136" s="291" t="s">
        <v>376</v>
      </c>
      <c r="Q136" s="291">
        <v>1</v>
      </c>
      <c r="R136" s="320">
        <v>1000</v>
      </c>
      <c r="S136" s="317">
        <f t="shared" si="15"/>
        <v>1000</v>
      </c>
      <c r="T136" s="291" t="s">
        <v>372</v>
      </c>
    </row>
    <row r="137" spans="2:20">
      <c r="B137" s="48" t="s">
        <v>188</v>
      </c>
      <c r="C137" s="454">
        <v>79</v>
      </c>
      <c r="D137" s="48" t="s">
        <v>1229</v>
      </c>
      <c r="E137" s="48" t="s">
        <v>1132</v>
      </c>
      <c r="F137" s="48">
        <v>2</v>
      </c>
      <c r="G137" s="320">
        <v>1000</v>
      </c>
      <c r="H137" s="317">
        <f t="shared" si="16"/>
        <v>2000</v>
      </c>
      <c r="M137" s="48" t="s">
        <v>39</v>
      </c>
      <c r="N137" s="291">
        <v>38</v>
      </c>
      <c r="O137" s="289" t="s">
        <v>457</v>
      </c>
      <c r="P137" s="291" t="s">
        <v>376</v>
      </c>
      <c r="Q137" s="291">
        <v>2</v>
      </c>
      <c r="R137" s="320">
        <v>1000</v>
      </c>
      <c r="S137" s="317">
        <f t="shared" ref="S137:S200" si="17">R137*Q137</f>
        <v>2000</v>
      </c>
      <c r="T137" s="291" t="s">
        <v>372</v>
      </c>
    </row>
    <row r="138" spans="2:20" ht="25.5">
      <c r="B138" s="48" t="s">
        <v>188</v>
      </c>
      <c r="C138" s="454">
        <v>80</v>
      </c>
      <c r="D138" s="48" t="s">
        <v>1230</v>
      </c>
      <c r="E138" s="48" t="s">
        <v>1132</v>
      </c>
      <c r="F138" s="48">
        <v>2</v>
      </c>
      <c r="G138" s="320">
        <v>1000</v>
      </c>
      <c r="H138" s="317">
        <f t="shared" si="16"/>
        <v>2000</v>
      </c>
      <c r="M138" s="48" t="s">
        <v>39</v>
      </c>
      <c r="N138" s="291">
        <v>39</v>
      </c>
      <c r="O138" s="289" t="s">
        <v>458</v>
      </c>
      <c r="P138" s="291" t="s">
        <v>376</v>
      </c>
      <c r="Q138" s="291">
        <v>2</v>
      </c>
      <c r="R138" s="320">
        <v>1000</v>
      </c>
      <c r="S138" s="317">
        <f t="shared" si="17"/>
        <v>2000</v>
      </c>
      <c r="T138" s="291" t="s">
        <v>372</v>
      </c>
    </row>
    <row r="139" spans="2:20">
      <c r="B139" s="48" t="s">
        <v>188</v>
      </c>
      <c r="C139" s="454">
        <v>81</v>
      </c>
      <c r="D139" s="48" t="s">
        <v>1231</v>
      </c>
      <c r="E139" s="48" t="s">
        <v>1132</v>
      </c>
      <c r="F139" s="48">
        <v>2</v>
      </c>
      <c r="G139" s="320">
        <v>1000</v>
      </c>
      <c r="H139" s="317">
        <f t="shared" si="16"/>
        <v>2000</v>
      </c>
      <c r="M139" s="48" t="s">
        <v>39</v>
      </c>
      <c r="N139" s="291">
        <v>40</v>
      </c>
      <c r="O139" s="289" t="s">
        <v>489</v>
      </c>
      <c r="P139" s="291" t="s">
        <v>401</v>
      </c>
      <c r="Q139" s="291">
        <v>1</v>
      </c>
      <c r="R139" s="320">
        <v>1000</v>
      </c>
      <c r="S139" s="317">
        <f t="shared" si="17"/>
        <v>1000</v>
      </c>
      <c r="T139" s="291" t="s">
        <v>372</v>
      </c>
    </row>
    <row r="140" spans="2:20">
      <c r="B140" s="48" t="s">
        <v>188</v>
      </c>
      <c r="C140" s="454">
        <v>82</v>
      </c>
      <c r="D140" s="48" t="s">
        <v>1232</v>
      </c>
      <c r="E140" s="48" t="s">
        <v>1132</v>
      </c>
      <c r="F140" s="48">
        <v>1</v>
      </c>
      <c r="G140" s="320">
        <v>1000</v>
      </c>
      <c r="H140" s="317">
        <f t="shared" si="16"/>
        <v>1000</v>
      </c>
      <c r="M140" s="48" t="s">
        <v>39</v>
      </c>
      <c r="N140" s="291">
        <v>41</v>
      </c>
      <c r="O140" s="289" t="s">
        <v>490</v>
      </c>
      <c r="P140" s="291" t="s">
        <v>376</v>
      </c>
      <c r="Q140" s="291">
        <v>1</v>
      </c>
      <c r="R140" s="320">
        <v>1000</v>
      </c>
      <c r="S140" s="317">
        <f t="shared" si="17"/>
        <v>1000</v>
      </c>
      <c r="T140" s="291" t="s">
        <v>372</v>
      </c>
    </row>
    <row r="141" spans="2:20">
      <c r="B141" s="48" t="s">
        <v>188</v>
      </c>
      <c r="C141" s="454">
        <v>83</v>
      </c>
      <c r="D141" s="48" t="s">
        <v>1233</v>
      </c>
      <c r="E141" s="48" t="s">
        <v>1132</v>
      </c>
      <c r="F141" s="48">
        <v>1</v>
      </c>
      <c r="G141" s="320">
        <v>1000</v>
      </c>
      <c r="H141" s="317">
        <f t="shared" si="16"/>
        <v>1000</v>
      </c>
      <c r="M141" s="48" t="s">
        <v>39</v>
      </c>
      <c r="N141" s="291">
        <v>42</v>
      </c>
      <c r="O141" s="289" t="s">
        <v>491</v>
      </c>
      <c r="P141" s="291" t="s">
        <v>376</v>
      </c>
      <c r="Q141" s="291">
        <v>200</v>
      </c>
      <c r="R141" s="320">
        <v>1000</v>
      </c>
      <c r="S141" s="317">
        <f t="shared" si="17"/>
        <v>200000</v>
      </c>
      <c r="T141" s="291" t="s">
        <v>372</v>
      </c>
    </row>
    <row r="142" spans="2:20">
      <c r="B142" s="48" t="s">
        <v>188</v>
      </c>
      <c r="C142" s="454">
        <v>84</v>
      </c>
      <c r="D142" s="48" t="s">
        <v>1234</v>
      </c>
      <c r="E142" s="48" t="s">
        <v>1132</v>
      </c>
      <c r="F142" s="48">
        <v>1</v>
      </c>
      <c r="G142" s="320">
        <v>1000</v>
      </c>
      <c r="H142" s="317">
        <f t="shared" si="16"/>
        <v>1000</v>
      </c>
      <c r="M142" s="48" t="s">
        <v>39</v>
      </c>
      <c r="N142" s="291">
        <v>43</v>
      </c>
      <c r="O142" s="289" t="s">
        <v>462</v>
      </c>
      <c r="P142" s="291" t="s">
        <v>376</v>
      </c>
      <c r="Q142" s="291">
        <v>1</v>
      </c>
      <c r="R142" s="320">
        <v>1000</v>
      </c>
      <c r="S142" s="317">
        <f t="shared" si="17"/>
        <v>1000</v>
      </c>
      <c r="T142" s="291" t="s">
        <v>654</v>
      </c>
    </row>
    <row r="143" spans="2:20">
      <c r="B143" s="48" t="s">
        <v>188</v>
      </c>
      <c r="C143" s="454">
        <v>85</v>
      </c>
      <c r="D143" s="48" t="s">
        <v>1235</v>
      </c>
      <c r="E143" s="48" t="s">
        <v>1132</v>
      </c>
      <c r="F143" s="48">
        <v>15</v>
      </c>
      <c r="G143" s="320">
        <v>1000</v>
      </c>
      <c r="H143" s="317">
        <f t="shared" si="16"/>
        <v>15000</v>
      </c>
      <c r="M143" s="48" t="s">
        <v>39</v>
      </c>
      <c r="N143" s="291">
        <v>44</v>
      </c>
      <c r="O143" s="289" t="s">
        <v>415</v>
      </c>
      <c r="P143" s="291" t="s">
        <v>376</v>
      </c>
      <c r="Q143" s="291">
        <v>2</v>
      </c>
      <c r="R143" s="320">
        <v>1000</v>
      </c>
      <c r="S143" s="317">
        <f t="shared" si="17"/>
        <v>2000</v>
      </c>
      <c r="T143" s="291" t="s">
        <v>654</v>
      </c>
    </row>
    <row r="144" spans="2:20">
      <c r="B144" s="48" t="s">
        <v>188</v>
      </c>
      <c r="C144" s="454">
        <v>86</v>
      </c>
      <c r="D144" s="48" t="s">
        <v>1236</v>
      </c>
      <c r="E144" s="48" t="s">
        <v>1132</v>
      </c>
      <c r="F144" s="48">
        <v>1</v>
      </c>
      <c r="G144" s="320">
        <v>1000</v>
      </c>
      <c r="H144" s="317">
        <f t="shared" si="16"/>
        <v>1000</v>
      </c>
      <c r="M144" s="48" t="s">
        <v>39</v>
      </c>
      <c r="N144" s="291">
        <v>45</v>
      </c>
      <c r="O144" s="289" t="s">
        <v>434</v>
      </c>
      <c r="P144" s="291" t="s">
        <v>376</v>
      </c>
      <c r="Q144" s="291">
        <v>2</v>
      </c>
      <c r="R144" s="320">
        <v>1000</v>
      </c>
      <c r="S144" s="317">
        <f t="shared" si="17"/>
        <v>2000</v>
      </c>
      <c r="T144" s="291" t="s">
        <v>654</v>
      </c>
    </row>
    <row r="145" spans="2:20">
      <c r="B145" s="48" t="s">
        <v>188</v>
      </c>
      <c r="C145" s="454">
        <v>87</v>
      </c>
      <c r="D145" s="48" t="s">
        <v>389</v>
      </c>
      <c r="E145" s="48" t="s">
        <v>1132</v>
      </c>
      <c r="F145" s="48">
        <v>1</v>
      </c>
      <c r="G145" s="320">
        <v>1000</v>
      </c>
      <c r="H145" s="317">
        <f t="shared" si="16"/>
        <v>1000</v>
      </c>
      <c r="M145" s="48" t="s">
        <v>39</v>
      </c>
      <c r="N145" s="291">
        <v>46</v>
      </c>
      <c r="O145" s="289" t="s">
        <v>492</v>
      </c>
      <c r="P145" s="291" t="s">
        <v>376</v>
      </c>
      <c r="Q145" s="291">
        <v>3</v>
      </c>
      <c r="R145" s="320">
        <v>1000</v>
      </c>
      <c r="S145" s="317">
        <f t="shared" si="17"/>
        <v>3000</v>
      </c>
      <c r="T145" s="291" t="s">
        <v>654</v>
      </c>
    </row>
    <row r="146" spans="2:20">
      <c r="B146" s="48" t="s">
        <v>188</v>
      </c>
      <c r="C146" s="454">
        <v>88</v>
      </c>
      <c r="D146" s="48" t="s">
        <v>1237</v>
      </c>
      <c r="E146" s="48" t="s">
        <v>1132</v>
      </c>
      <c r="F146" s="48">
        <v>2</v>
      </c>
      <c r="G146" s="320">
        <v>1000</v>
      </c>
      <c r="H146" s="317">
        <f t="shared" si="16"/>
        <v>2000</v>
      </c>
      <c r="M146" s="48" t="s">
        <v>39</v>
      </c>
      <c r="N146" s="291">
        <v>47</v>
      </c>
      <c r="O146" s="289" t="s">
        <v>464</v>
      </c>
      <c r="P146" s="291" t="s">
        <v>376</v>
      </c>
      <c r="Q146" s="291">
        <v>1</v>
      </c>
      <c r="R146" s="320">
        <v>1000</v>
      </c>
      <c r="S146" s="317">
        <f t="shared" si="17"/>
        <v>1000</v>
      </c>
      <c r="T146" s="291" t="s">
        <v>654</v>
      </c>
    </row>
    <row r="147" spans="2:20">
      <c r="B147" s="48" t="s">
        <v>188</v>
      </c>
      <c r="C147" s="454">
        <v>89</v>
      </c>
      <c r="D147" s="48" t="s">
        <v>1238</v>
      </c>
      <c r="E147" s="48" t="s">
        <v>1132</v>
      </c>
      <c r="F147" s="48">
        <v>2</v>
      </c>
      <c r="G147" s="320">
        <v>1000</v>
      </c>
      <c r="H147" s="317">
        <f t="shared" si="16"/>
        <v>2000</v>
      </c>
      <c r="M147" s="48" t="s">
        <v>39</v>
      </c>
      <c r="N147" s="291">
        <v>48</v>
      </c>
      <c r="O147" s="289" t="s">
        <v>465</v>
      </c>
      <c r="P147" s="291" t="s">
        <v>376</v>
      </c>
      <c r="Q147" s="291">
        <v>1</v>
      </c>
      <c r="R147" s="320">
        <v>1000</v>
      </c>
      <c r="S147" s="317">
        <f t="shared" si="17"/>
        <v>1000</v>
      </c>
      <c r="T147" s="291" t="s">
        <v>654</v>
      </c>
    </row>
    <row r="148" spans="2:20">
      <c r="B148" s="48" t="s">
        <v>188</v>
      </c>
      <c r="C148" s="454">
        <v>90</v>
      </c>
      <c r="D148" s="48" t="s">
        <v>1239</v>
      </c>
      <c r="G148" s="320">
        <v>1000</v>
      </c>
      <c r="H148" s="317">
        <f t="shared" si="16"/>
        <v>0</v>
      </c>
      <c r="M148" s="48" t="s">
        <v>39</v>
      </c>
      <c r="N148" s="291">
        <v>49</v>
      </c>
      <c r="O148" s="289" t="s">
        <v>418</v>
      </c>
      <c r="P148" s="291" t="s">
        <v>376</v>
      </c>
      <c r="Q148" s="291">
        <v>1</v>
      </c>
      <c r="R148" s="320">
        <v>1000</v>
      </c>
      <c r="S148" s="317">
        <f t="shared" si="17"/>
        <v>1000</v>
      </c>
      <c r="T148" s="291" t="s">
        <v>655</v>
      </c>
    </row>
    <row r="149" spans="2:20">
      <c r="B149" s="48" t="s">
        <v>887</v>
      </c>
      <c r="C149" s="454">
        <v>91</v>
      </c>
      <c r="D149" s="48" t="s">
        <v>389</v>
      </c>
      <c r="E149" s="48" t="s">
        <v>564</v>
      </c>
      <c r="F149" s="48">
        <v>2</v>
      </c>
      <c r="G149" s="320">
        <v>1000</v>
      </c>
      <c r="H149" s="317">
        <f t="shared" si="16"/>
        <v>2000</v>
      </c>
      <c r="M149" s="48" t="s">
        <v>38</v>
      </c>
      <c r="N149" s="291">
        <v>1</v>
      </c>
      <c r="O149" s="289" t="s">
        <v>493</v>
      </c>
      <c r="P149" s="291" t="s">
        <v>376</v>
      </c>
      <c r="Q149" s="291">
        <v>1</v>
      </c>
      <c r="R149" s="320">
        <v>1000</v>
      </c>
      <c r="S149" s="317">
        <f t="shared" si="17"/>
        <v>1000</v>
      </c>
      <c r="T149" s="291" t="s">
        <v>372</v>
      </c>
    </row>
    <row r="150" spans="2:20">
      <c r="B150" s="48" t="s">
        <v>887</v>
      </c>
      <c r="C150" s="454">
        <v>92</v>
      </c>
      <c r="D150" s="48" t="s">
        <v>444</v>
      </c>
      <c r="E150" s="48" t="s">
        <v>1132</v>
      </c>
      <c r="F150" s="48">
        <v>1</v>
      </c>
      <c r="G150" s="320">
        <v>1000</v>
      </c>
      <c r="H150" s="317">
        <f t="shared" si="16"/>
        <v>1000</v>
      </c>
      <c r="M150" s="48" t="s">
        <v>38</v>
      </c>
      <c r="N150" s="291">
        <v>2</v>
      </c>
      <c r="O150" s="289" t="s">
        <v>494</v>
      </c>
      <c r="P150" s="291" t="s">
        <v>376</v>
      </c>
      <c r="Q150" s="291">
        <v>1</v>
      </c>
      <c r="R150" s="320">
        <v>1000</v>
      </c>
      <c r="S150" s="317">
        <f t="shared" si="17"/>
        <v>1000</v>
      </c>
      <c r="T150" s="291" t="s">
        <v>372</v>
      </c>
    </row>
    <row r="151" spans="2:20" ht="25.5">
      <c r="B151" s="48" t="s">
        <v>887</v>
      </c>
      <c r="C151" s="454">
        <v>93</v>
      </c>
      <c r="D151" s="48" t="s">
        <v>1243</v>
      </c>
      <c r="E151" s="48" t="s">
        <v>1132</v>
      </c>
      <c r="F151" s="48">
        <v>11</v>
      </c>
      <c r="G151" s="320">
        <v>1000</v>
      </c>
      <c r="H151" s="317">
        <f t="shared" si="16"/>
        <v>11000</v>
      </c>
      <c r="M151" s="48" t="s">
        <v>38</v>
      </c>
      <c r="N151" s="291">
        <v>3</v>
      </c>
      <c r="O151" s="289" t="s">
        <v>495</v>
      </c>
      <c r="P151" s="291" t="s">
        <v>376</v>
      </c>
      <c r="Q151" s="291">
        <v>1</v>
      </c>
      <c r="R151" s="320">
        <v>1000</v>
      </c>
      <c r="S151" s="317">
        <f t="shared" si="17"/>
        <v>1000</v>
      </c>
      <c r="T151" s="291" t="s">
        <v>372</v>
      </c>
    </row>
    <row r="152" spans="2:20">
      <c r="B152" s="48" t="s">
        <v>887</v>
      </c>
      <c r="C152" s="454">
        <v>94</v>
      </c>
      <c r="D152" s="48" t="s">
        <v>1244</v>
      </c>
      <c r="E152" s="48" t="s">
        <v>1132</v>
      </c>
      <c r="F152" s="48">
        <v>1</v>
      </c>
      <c r="G152" s="320">
        <v>1000</v>
      </c>
      <c r="H152" s="317">
        <f t="shared" si="16"/>
        <v>1000</v>
      </c>
      <c r="M152" s="48" t="s">
        <v>38</v>
      </c>
      <c r="N152" s="291">
        <v>4</v>
      </c>
      <c r="O152" s="289" t="s">
        <v>496</v>
      </c>
      <c r="P152" s="291" t="s">
        <v>376</v>
      </c>
      <c r="Q152" s="291">
        <v>1</v>
      </c>
      <c r="R152" s="320">
        <v>1000</v>
      </c>
      <c r="S152" s="317">
        <f t="shared" si="17"/>
        <v>1000</v>
      </c>
      <c r="T152" s="291" t="s">
        <v>372</v>
      </c>
    </row>
    <row r="153" spans="2:20">
      <c r="B153" s="48" t="s">
        <v>887</v>
      </c>
      <c r="C153" s="454">
        <v>95</v>
      </c>
      <c r="D153" s="48" t="s">
        <v>1245</v>
      </c>
      <c r="E153" s="48" t="s">
        <v>1132</v>
      </c>
      <c r="F153" s="48">
        <v>1</v>
      </c>
      <c r="G153" s="320">
        <v>1000</v>
      </c>
      <c r="H153" s="317">
        <f t="shared" si="16"/>
        <v>1000</v>
      </c>
      <c r="M153" s="48" t="s">
        <v>38</v>
      </c>
      <c r="N153" s="291">
        <v>5</v>
      </c>
      <c r="O153" s="289" t="s">
        <v>497</v>
      </c>
      <c r="P153" s="291" t="s">
        <v>376</v>
      </c>
      <c r="Q153" s="291">
        <v>1</v>
      </c>
      <c r="R153" s="320">
        <v>1000</v>
      </c>
      <c r="S153" s="317">
        <f t="shared" si="17"/>
        <v>1000</v>
      </c>
      <c r="T153" s="291" t="s">
        <v>372</v>
      </c>
    </row>
    <row r="154" spans="2:20">
      <c r="B154" s="48" t="s">
        <v>887</v>
      </c>
      <c r="C154" s="454">
        <v>96</v>
      </c>
      <c r="D154" s="48" t="s">
        <v>1246</v>
      </c>
      <c r="E154" s="48" t="s">
        <v>1132</v>
      </c>
      <c r="F154" s="48">
        <v>1</v>
      </c>
      <c r="G154" s="320">
        <v>1000</v>
      </c>
      <c r="H154" s="317">
        <f t="shared" si="16"/>
        <v>1000</v>
      </c>
      <c r="M154" s="48" t="s">
        <v>38</v>
      </c>
      <c r="N154" s="291">
        <v>6</v>
      </c>
      <c r="O154" s="289" t="s">
        <v>498</v>
      </c>
      <c r="P154" s="291" t="s">
        <v>376</v>
      </c>
      <c r="Q154" s="291">
        <v>1</v>
      </c>
      <c r="R154" s="320">
        <v>1000</v>
      </c>
      <c r="S154" s="317">
        <f t="shared" si="17"/>
        <v>1000</v>
      </c>
      <c r="T154" s="291" t="s">
        <v>372</v>
      </c>
    </row>
    <row r="155" spans="2:20">
      <c r="B155" s="48" t="s">
        <v>887</v>
      </c>
      <c r="C155" s="454">
        <v>97</v>
      </c>
      <c r="D155" s="48" t="s">
        <v>1247</v>
      </c>
      <c r="E155" s="48" t="s">
        <v>1132</v>
      </c>
      <c r="F155" s="48">
        <v>1</v>
      </c>
      <c r="G155" s="320">
        <v>1000</v>
      </c>
      <c r="H155" s="317">
        <f t="shared" si="16"/>
        <v>1000</v>
      </c>
      <c r="M155" s="48" t="s">
        <v>38</v>
      </c>
      <c r="N155" s="291">
        <v>7</v>
      </c>
      <c r="O155" s="289" t="s">
        <v>475</v>
      </c>
      <c r="P155" s="291" t="s">
        <v>376</v>
      </c>
      <c r="Q155" s="291">
        <v>1</v>
      </c>
      <c r="R155" s="320">
        <v>1000</v>
      </c>
      <c r="S155" s="317">
        <f t="shared" si="17"/>
        <v>1000</v>
      </c>
      <c r="T155" s="291" t="s">
        <v>372</v>
      </c>
    </row>
    <row r="156" spans="2:20">
      <c r="B156" s="48" t="s">
        <v>887</v>
      </c>
      <c r="C156" s="454">
        <v>98</v>
      </c>
      <c r="D156" s="48" t="s">
        <v>1248</v>
      </c>
      <c r="E156" s="48" t="s">
        <v>401</v>
      </c>
      <c r="F156" s="48">
        <v>1</v>
      </c>
      <c r="G156" s="320">
        <v>1000</v>
      </c>
      <c r="H156" s="317">
        <f t="shared" si="16"/>
        <v>1000</v>
      </c>
      <c r="M156" s="48" t="s">
        <v>38</v>
      </c>
      <c r="N156" s="291">
        <v>8</v>
      </c>
      <c r="O156" s="289" t="s">
        <v>476</v>
      </c>
      <c r="P156" s="291" t="s">
        <v>376</v>
      </c>
      <c r="Q156" s="291">
        <v>1</v>
      </c>
      <c r="R156" s="320">
        <v>1000</v>
      </c>
      <c r="S156" s="317">
        <f t="shared" si="17"/>
        <v>1000</v>
      </c>
      <c r="T156" s="291" t="s">
        <v>372</v>
      </c>
    </row>
    <row r="157" spans="2:20">
      <c r="B157" s="48" t="s">
        <v>887</v>
      </c>
      <c r="C157" s="454">
        <v>99</v>
      </c>
      <c r="D157" s="48" t="s">
        <v>1249</v>
      </c>
      <c r="E157" s="48" t="s">
        <v>564</v>
      </c>
      <c r="F157" s="48">
        <v>1</v>
      </c>
      <c r="G157" s="320">
        <v>1000</v>
      </c>
      <c r="H157" s="317">
        <f t="shared" si="16"/>
        <v>1000</v>
      </c>
      <c r="M157" s="48" t="s">
        <v>38</v>
      </c>
      <c r="N157" s="291">
        <v>9</v>
      </c>
      <c r="O157" s="289" t="s">
        <v>433</v>
      </c>
      <c r="P157" s="291" t="s">
        <v>376</v>
      </c>
      <c r="Q157" s="291">
        <v>1</v>
      </c>
      <c r="R157" s="320">
        <v>1000</v>
      </c>
      <c r="S157" s="317">
        <f t="shared" si="17"/>
        <v>1000</v>
      </c>
      <c r="T157" s="291" t="s">
        <v>372</v>
      </c>
    </row>
    <row r="158" spans="2:20">
      <c r="B158" s="48" t="s">
        <v>887</v>
      </c>
      <c r="C158" s="454">
        <v>100</v>
      </c>
      <c r="D158" s="48" t="s">
        <v>1250</v>
      </c>
      <c r="E158" s="48" t="s">
        <v>1132</v>
      </c>
      <c r="F158" s="48">
        <v>1</v>
      </c>
      <c r="G158" s="320">
        <v>1000</v>
      </c>
      <c r="H158" s="317">
        <f t="shared" si="16"/>
        <v>1000</v>
      </c>
      <c r="M158" s="48" t="s">
        <v>38</v>
      </c>
      <c r="N158" s="291">
        <v>10</v>
      </c>
      <c r="O158" s="289" t="s">
        <v>477</v>
      </c>
      <c r="P158" s="291" t="s">
        <v>376</v>
      </c>
      <c r="Q158" s="291">
        <v>1</v>
      </c>
      <c r="R158" s="320">
        <v>1000</v>
      </c>
      <c r="S158" s="317">
        <f t="shared" si="17"/>
        <v>1000</v>
      </c>
      <c r="T158" s="291" t="s">
        <v>372</v>
      </c>
    </row>
    <row r="159" spans="2:20">
      <c r="B159" s="48" t="s">
        <v>887</v>
      </c>
      <c r="C159" s="454">
        <v>101</v>
      </c>
      <c r="D159" s="48" t="s">
        <v>1251</v>
      </c>
      <c r="E159" s="48" t="s">
        <v>1132</v>
      </c>
      <c r="F159" s="48">
        <v>1</v>
      </c>
      <c r="G159" s="320">
        <v>1000</v>
      </c>
      <c r="H159" s="317">
        <f t="shared" si="16"/>
        <v>1000</v>
      </c>
      <c r="M159" s="48" t="s">
        <v>38</v>
      </c>
      <c r="N159" s="291">
        <v>11</v>
      </c>
      <c r="O159" s="289" t="s">
        <v>436</v>
      </c>
      <c r="P159" s="291" t="s">
        <v>376</v>
      </c>
      <c r="Q159" s="291">
        <v>1</v>
      </c>
      <c r="R159" s="320">
        <v>1000</v>
      </c>
      <c r="S159" s="317">
        <f t="shared" si="17"/>
        <v>1000</v>
      </c>
      <c r="T159" s="291" t="s">
        <v>372</v>
      </c>
    </row>
    <row r="160" spans="2:20">
      <c r="B160" s="48" t="s">
        <v>887</v>
      </c>
      <c r="C160" s="454">
        <v>102</v>
      </c>
      <c r="D160" s="48" t="s">
        <v>1252</v>
      </c>
      <c r="E160" s="48" t="s">
        <v>1132</v>
      </c>
      <c r="F160" s="48">
        <v>1</v>
      </c>
      <c r="G160" s="320">
        <v>1000</v>
      </c>
      <c r="H160" s="317">
        <f t="shared" si="16"/>
        <v>1000</v>
      </c>
      <c r="M160" s="48" t="s">
        <v>38</v>
      </c>
      <c r="N160" s="291">
        <v>12</v>
      </c>
      <c r="O160" s="289" t="s">
        <v>443</v>
      </c>
      <c r="P160" s="291" t="s">
        <v>376</v>
      </c>
      <c r="Q160" s="291">
        <v>1</v>
      </c>
      <c r="R160" s="320">
        <v>1000</v>
      </c>
      <c r="S160" s="317">
        <f t="shared" si="17"/>
        <v>1000</v>
      </c>
      <c r="T160" s="291" t="s">
        <v>372</v>
      </c>
    </row>
    <row r="161" spans="2:20">
      <c r="B161" s="48" t="s">
        <v>887</v>
      </c>
      <c r="C161" s="454">
        <v>103</v>
      </c>
      <c r="D161" s="48" t="s">
        <v>1253</v>
      </c>
      <c r="E161" s="48" t="s">
        <v>1132</v>
      </c>
      <c r="F161" s="48">
        <v>1</v>
      </c>
      <c r="G161" s="320">
        <v>1000</v>
      </c>
      <c r="H161" s="317">
        <f t="shared" si="16"/>
        <v>1000</v>
      </c>
      <c r="M161" s="48" t="s">
        <v>38</v>
      </c>
      <c r="N161" s="291">
        <v>13</v>
      </c>
      <c r="O161" s="289" t="s">
        <v>441</v>
      </c>
      <c r="P161" s="291" t="s">
        <v>376</v>
      </c>
      <c r="Q161" s="291">
        <v>1</v>
      </c>
      <c r="R161" s="320">
        <v>1000</v>
      </c>
      <c r="S161" s="317">
        <f t="shared" si="17"/>
        <v>1000</v>
      </c>
      <c r="T161" s="291" t="s">
        <v>372</v>
      </c>
    </row>
    <row r="162" spans="2:20">
      <c r="B162" s="48" t="s">
        <v>887</v>
      </c>
      <c r="C162" s="454">
        <v>104</v>
      </c>
      <c r="D162" s="48" t="s">
        <v>1254</v>
      </c>
      <c r="E162" s="48" t="s">
        <v>1132</v>
      </c>
      <c r="F162" s="48">
        <v>1</v>
      </c>
      <c r="G162" s="320">
        <v>1000</v>
      </c>
      <c r="H162" s="317">
        <f t="shared" si="16"/>
        <v>1000</v>
      </c>
      <c r="M162" s="48" t="s">
        <v>38</v>
      </c>
      <c r="N162" s="291">
        <v>14</v>
      </c>
      <c r="O162" s="289" t="s">
        <v>437</v>
      </c>
      <c r="P162" s="291" t="s">
        <v>376</v>
      </c>
      <c r="Q162" s="291">
        <v>1</v>
      </c>
      <c r="R162" s="320">
        <v>1000</v>
      </c>
      <c r="S162" s="317">
        <f t="shared" si="17"/>
        <v>1000</v>
      </c>
      <c r="T162" s="291" t="s">
        <v>372</v>
      </c>
    </row>
    <row r="163" spans="2:20">
      <c r="B163" s="48" t="s">
        <v>887</v>
      </c>
      <c r="C163" s="454">
        <v>105</v>
      </c>
      <c r="D163" s="48" t="s">
        <v>1255</v>
      </c>
      <c r="E163" s="48" t="s">
        <v>1132</v>
      </c>
      <c r="F163" s="48">
        <v>1</v>
      </c>
      <c r="G163" s="320">
        <v>1000</v>
      </c>
      <c r="H163" s="317">
        <f t="shared" si="16"/>
        <v>1000</v>
      </c>
      <c r="M163" s="48" t="s">
        <v>38</v>
      </c>
      <c r="N163" s="291">
        <v>15</v>
      </c>
      <c r="O163" s="289" t="s">
        <v>499</v>
      </c>
      <c r="P163" s="291" t="s">
        <v>406</v>
      </c>
      <c r="Q163" s="291">
        <v>1</v>
      </c>
      <c r="R163" s="320">
        <v>1000</v>
      </c>
      <c r="S163" s="317">
        <f t="shared" si="17"/>
        <v>1000</v>
      </c>
      <c r="T163" s="291" t="s">
        <v>372</v>
      </c>
    </row>
    <row r="164" spans="2:20">
      <c r="B164" s="48" t="s">
        <v>887</v>
      </c>
      <c r="C164" s="454">
        <v>106</v>
      </c>
      <c r="D164" s="48" t="s">
        <v>1256</v>
      </c>
      <c r="E164" s="48" t="s">
        <v>1132</v>
      </c>
      <c r="F164" s="48">
        <v>1</v>
      </c>
      <c r="G164" s="320">
        <v>1000</v>
      </c>
      <c r="H164" s="317">
        <f t="shared" si="16"/>
        <v>1000</v>
      </c>
      <c r="M164" s="48" t="s">
        <v>38</v>
      </c>
      <c r="N164" s="291">
        <v>16</v>
      </c>
      <c r="O164" s="289" t="s">
        <v>478</v>
      </c>
      <c r="P164" s="291" t="s">
        <v>376</v>
      </c>
      <c r="Q164" s="291">
        <v>1</v>
      </c>
      <c r="R164" s="320">
        <v>1000</v>
      </c>
      <c r="S164" s="317">
        <f t="shared" si="17"/>
        <v>1000</v>
      </c>
      <c r="T164" s="291" t="s">
        <v>372</v>
      </c>
    </row>
    <row r="165" spans="2:20">
      <c r="B165" s="48" t="s">
        <v>887</v>
      </c>
      <c r="C165" s="454">
        <v>107</v>
      </c>
      <c r="D165" s="48" t="s">
        <v>1257</v>
      </c>
      <c r="E165" s="48" t="s">
        <v>1132</v>
      </c>
      <c r="F165" s="48">
        <v>1</v>
      </c>
      <c r="G165" s="320">
        <v>1000</v>
      </c>
      <c r="H165" s="317">
        <f t="shared" si="16"/>
        <v>1000</v>
      </c>
      <c r="M165" s="48" t="s">
        <v>38</v>
      </c>
      <c r="N165" s="291">
        <v>17</v>
      </c>
      <c r="O165" s="289" t="s">
        <v>440</v>
      </c>
      <c r="P165" s="291" t="s">
        <v>376</v>
      </c>
      <c r="Q165" s="291">
        <v>3</v>
      </c>
      <c r="R165" s="320">
        <v>1000</v>
      </c>
      <c r="S165" s="317">
        <f t="shared" si="17"/>
        <v>3000</v>
      </c>
      <c r="T165" s="291" t="s">
        <v>372</v>
      </c>
    </row>
    <row r="166" spans="2:20">
      <c r="B166" s="48" t="s">
        <v>887</v>
      </c>
      <c r="C166" s="454">
        <v>108</v>
      </c>
      <c r="D166" s="48" t="s">
        <v>1258</v>
      </c>
      <c r="E166" s="48" t="s">
        <v>1038</v>
      </c>
      <c r="F166" s="48">
        <v>1</v>
      </c>
      <c r="G166" s="320">
        <v>1000</v>
      </c>
      <c r="H166" s="317">
        <f t="shared" si="16"/>
        <v>1000</v>
      </c>
      <c r="M166" s="48" t="s">
        <v>38</v>
      </c>
      <c r="N166" s="291">
        <v>18</v>
      </c>
      <c r="O166" s="289" t="s">
        <v>500</v>
      </c>
      <c r="P166" s="291" t="s">
        <v>376</v>
      </c>
      <c r="Q166" s="291">
        <v>1</v>
      </c>
      <c r="R166" s="320">
        <v>1000</v>
      </c>
      <c r="S166" s="317">
        <f t="shared" si="17"/>
        <v>1000</v>
      </c>
      <c r="T166" s="291" t="s">
        <v>372</v>
      </c>
    </row>
    <row r="167" spans="2:20">
      <c r="B167" s="48" t="s">
        <v>887</v>
      </c>
      <c r="C167" s="454">
        <v>109</v>
      </c>
      <c r="D167" s="48" t="s">
        <v>1259</v>
      </c>
      <c r="E167" s="48" t="s">
        <v>564</v>
      </c>
      <c r="F167" s="48">
        <v>50</v>
      </c>
      <c r="G167" s="320">
        <v>1000</v>
      </c>
      <c r="H167" s="317">
        <f t="shared" si="16"/>
        <v>50000</v>
      </c>
      <c r="M167" s="48" t="s">
        <v>38</v>
      </c>
      <c r="N167" s="291">
        <v>19</v>
      </c>
      <c r="O167" s="289" t="s">
        <v>473</v>
      </c>
      <c r="P167" s="291" t="s">
        <v>376</v>
      </c>
      <c r="Q167" s="291">
        <v>1</v>
      </c>
      <c r="R167" s="320">
        <v>1000</v>
      </c>
      <c r="S167" s="317">
        <f t="shared" si="17"/>
        <v>1000</v>
      </c>
      <c r="T167" s="291" t="s">
        <v>372</v>
      </c>
    </row>
    <row r="168" spans="2:20">
      <c r="B168" s="48" t="s">
        <v>887</v>
      </c>
      <c r="C168" s="454">
        <v>110</v>
      </c>
      <c r="D168" s="48" t="s">
        <v>1260</v>
      </c>
      <c r="E168" s="48" t="s">
        <v>1132</v>
      </c>
      <c r="F168" s="48">
        <v>50</v>
      </c>
      <c r="G168" s="320">
        <v>1000</v>
      </c>
      <c r="H168" s="317">
        <f t="shared" si="16"/>
        <v>50000</v>
      </c>
      <c r="M168" s="48" t="s">
        <v>38</v>
      </c>
      <c r="N168" s="291">
        <v>20</v>
      </c>
      <c r="O168" s="289" t="s">
        <v>501</v>
      </c>
      <c r="P168" s="291" t="s">
        <v>376</v>
      </c>
      <c r="Q168" s="291">
        <v>1</v>
      </c>
      <c r="R168" s="320">
        <v>1000</v>
      </c>
      <c r="S168" s="317">
        <f t="shared" si="17"/>
        <v>1000</v>
      </c>
      <c r="T168" s="291" t="s">
        <v>372</v>
      </c>
    </row>
    <row r="169" spans="2:20">
      <c r="B169" s="48" t="s">
        <v>887</v>
      </c>
      <c r="C169" s="454">
        <v>111</v>
      </c>
      <c r="D169" s="48" t="s">
        <v>1261</v>
      </c>
      <c r="E169" s="48" t="s">
        <v>1132</v>
      </c>
      <c r="F169" s="48">
        <v>400</v>
      </c>
      <c r="G169" s="320">
        <v>1000</v>
      </c>
      <c r="H169" s="317">
        <f t="shared" si="16"/>
        <v>400000</v>
      </c>
      <c r="M169" s="48" t="s">
        <v>38</v>
      </c>
      <c r="N169" s="291">
        <v>21</v>
      </c>
      <c r="O169" s="289" t="s">
        <v>502</v>
      </c>
      <c r="P169" s="291" t="s">
        <v>376</v>
      </c>
      <c r="Q169" s="291">
        <v>1</v>
      </c>
      <c r="R169" s="320">
        <v>1000</v>
      </c>
      <c r="S169" s="317">
        <f t="shared" si="17"/>
        <v>1000</v>
      </c>
      <c r="T169" s="291" t="s">
        <v>372</v>
      </c>
    </row>
    <row r="170" spans="2:20">
      <c r="B170" s="48" t="s">
        <v>887</v>
      </c>
      <c r="C170" s="454">
        <v>112</v>
      </c>
      <c r="D170" s="48" t="s">
        <v>1262</v>
      </c>
      <c r="E170" s="48" t="s">
        <v>1132</v>
      </c>
      <c r="F170" s="48">
        <v>2</v>
      </c>
      <c r="G170" s="320">
        <v>1000</v>
      </c>
      <c r="H170" s="317">
        <f t="shared" si="16"/>
        <v>2000</v>
      </c>
      <c r="M170" s="48" t="s">
        <v>38</v>
      </c>
      <c r="N170" s="291">
        <v>22</v>
      </c>
      <c r="O170" s="289" t="s">
        <v>503</v>
      </c>
      <c r="P170" s="291" t="s">
        <v>376</v>
      </c>
      <c r="Q170" s="291">
        <v>1</v>
      </c>
      <c r="R170" s="320">
        <v>1000</v>
      </c>
      <c r="S170" s="317">
        <f t="shared" si="17"/>
        <v>1000</v>
      </c>
      <c r="T170" s="291" t="s">
        <v>372</v>
      </c>
    </row>
    <row r="171" spans="2:20">
      <c r="B171" s="48" t="s">
        <v>887</v>
      </c>
      <c r="C171" s="454">
        <v>113</v>
      </c>
      <c r="D171" s="48" t="s">
        <v>1263</v>
      </c>
      <c r="E171" s="48" t="s">
        <v>1132</v>
      </c>
      <c r="F171" s="48">
        <v>2</v>
      </c>
      <c r="G171" s="320">
        <v>1000</v>
      </c>
      <c r="H171" s="317">
        <f t="shared" si="16"/>
        <v>2000</v>
      </c>
      <c r="M171" s="48" t="s">
        <v>38</v>
      </c>
      <c r="N171" s="291">
        <v>23</v>
      </c>
      <c r="O171" s="289" t="s">
        <v>447</v>
      </c>
      <c r="P171" s="291" t="s">
        <v>376</v>
      </c>
      <c r="Q171" s="291">
        <v>1</v>
      </c>
      <c r="R171" s="320">
        <v>1000</v>
      </c>
      <c r="S171" s="317">
        <f t="shared" si="17"/>
        <v>1000</v>
      </c>
      <c r="T171" s="291" t="s">
        <v>372</v>
      </c>
    </row>
    <row r="172" spans="2:20">
      <c r="B172" s="48" t="s">
        <v>887</v>
      </c>
      <c r="C172" s="454">
        <v>114</v>
      </c>
      <c r="D172" s="48" t="s">
        <v>1264</v>
      </c>
      <c r="E172" s="48" t="s">
        <v>1132</v>
      </c>
      <c r="F172" s="48">
        <v>10</v>
      </c>
      <c r="G172" s="320">
        <v>1000</v>
      </c>
      <c r="H172" s="317">
        <f t="shared" si="16"/>
        <v>10000</v>
      </c>
      <c r="M172" s="48" t="s">
        <v>38</v>
      </c>
      <c r="N172" s="291">
        <v>24</v>
      </c>
      <c r="O172" s="289" t="s">
        <v>504</v>
      </c>
      <c r="P172" s="291" t="s">
        <v>376</v>
      </c>
      <c r="Q172" s="291">
        <v>1</v>
      </c>
      <c r="R172" s="320">
        <v>1000</v>
      </c>
      <c r="S172" s="317">
        <f t="shared" si="17"/>
        <v>1000</v>
      </c>
      <c r="T172" s="291" t="s">
        <v>372</v>
      </c>
    </row>
    <row r="173" spans="2:20">
      <c r="B173" s="48" t="s">
        <v>887</v>
      </c>
      <c r="C173" s="454">
        <v>115</v>
      </c>
      <c r="D173" s="48" t="s">
        <v>1265</v>
      </c>
      <c r="E173" s="48" t="s">
        <v>1132</v>
      </c>
      <c r="F173" s="48">
        <v>1</v>
      </c>
      <c r="G173" s="320">
        <v>1000</v>
      </c>
      <c r="H173" s="317">
        <f t="shared" si="16"/>
        <v>1000</v>
      </c>
      <c r="M173" s="48" t="s">
        <v>38</v>
      </c>
      <c r="N173" s="291">
        <v>25</v>
      </c>
      <c r="O173" s="289" t="s">
        <v>505</v>
      </c>
      <c r="P173" s="291" t="s">
        <v>376</v>
      </c>
      <c r="Q173" s="291">
        <v>1</v>
      </c>
      <c r="R173" s="320">
        <v>1000</v>
      </c>
      <c r="S173" s="317">
        <f t="shared" si="17"/>
        <v>1000</v>
      </c>
      <c r="T173" s="291" t="s">
        <v>372</v>
      </c>
    </row>
    <row r="174" spans="2:20">
      <c r="B174" s="48" t="s">
        <v>887</v>
      </c>
      <c r="C174" s="454">
        <v>116</v>
      </c>
      <c r="D174" s="48" t="s">
        <v>1266</v>
      </c>
      <c r="E174" s="48" t="s">
        <v>1132</v>
      </c>
      <c r="F174" s="48">
        <v>2</v>
      </c>
      <c r="G174" s="320">
        <v>1000</v>
      </c>
      <c r="H174" s="317">
        <f t="shared" si="16"/>
        <v>2000</v>
      </c>
      <c r="M174" s="48" t="s">
        <v>38</v>
      </c>
      <c r="N174" s="291">
        <v>26</v>
      </c>
      <c r="O174" s="289" t="s">
        <v>450</v>
      </c>
      <c r="P174" s="291" t="s">
        <v>376</v>
      </c>
      <c r="Q174" s="291">
        <v>2</v>
      </c>
      <c r="R174" s="320">
        <v>1000</v>
      </c>
      <c r="S174" s="317">
        <f t="shared" si="17"/>
        <v>2000</v>
      </c>
      <c r="T174" s="291" t="s">
        <v>654</v>
      </c>
    </row>
    <row r="175" spans="2:20">
      <c r="B175" s="48" t="s">
        <v>887</v>
      </c>
      <c r="C175" s="454">
        <v>117</v>
      </c>
      <c r="D175" s="48" t="s">
        <v>1267</v>
      </c>
      <c r="E175" s="48" t="s">
        <v>1132</v>
      </c>
      <c r="F175" s="48">
        <v>1</v>
      </c>
      <c r="G175" s="320">
        <v>1000</v>
      </c>
      <c r="H175" s="317">
        <f t="shared" si="16"/>
        <v>1000</v>
      </c>
      <c r="M175" s="48" t="s">
        <v>38</v>
      </c>
      <c r="N175" s="291">
        <v>27</v>
      </c>
      <c r="O175" s="289" t="s">
        <v>449</v>
      </c>
      <c r="P175" s="291" t="s">
        <v>376</v>
      </c>
      <c r="Q175" s="291">
        <v>2</v>
      </c>
      <c r="R175" s="320">
        <v>1000</v>
      </c>
      <c r="S175" s="317">
        <f t="shared" si="17"/>
        <v>2000</v>
      </c>
      <c r="T175" s="291" t="s">
        <v>654</v>
      </c>
    </row>
    <row r="176" spans="2:20">
      <c r="B176" s="48" t="s">
        <v>887</v>
      </c>
      <c r="C176" s="454">
        <v>118</v>
      </c>
      <c r="D176" s="48" t="s">
        <v>1268</v>
      </c>
      <c r="E176" s="48" t="s">
        <v>1132</v>
      </c>
      <c r="F176" s="48">
        <v>40</v>
      </c>
      <c r="G176" s="320">
        <v>1000</v>
      </c>
      <c r="H176" s="317">
        <f t="shared" si="16"/>
        <v>40000</v>
      </c>
      <c r="M176" s="48" t="s">
        <v>38</v>
      </c>
      <c r="N176" s="291">
        <v>28</v>
      </c>
      <c r="O176" s="289" t="s">
        <v>430</v>
      </c>
      <c r="P176" s="291" t="s">
        <v>376</v>
      </c>
      <c r="Q176" s="291">
        <v>1</v>
      </c>
      <c r="R176" s="320">
        <v>1000</v>
      </c>
      <c r="S176" s="317">
        <f t="shared" si="17"/>
        <v>1000</v>
      </c>
      <c r="T176" s="291" t="s">
        <v>372</v>
      </c>
    </row>
    <row r="177" spans="2:20">
      <c r="B177" s="48" t="s">
        <v>887</v>
      </c>
      <c r="C177" s="454">
        <v>119</v>
      </c>
      <c r="D177" s="48" t="s">
        <v>1270</v>
      </c>
      <c r="E177" s="48" t="s">
        <v>1132</v>
      </c>
      <c r="F177" s="48">
        <v>200</v>
      </c>
      <c r="G177" s="320">
        <v>1000</v>
      </c>
      <c r="H177" s="317">
        <f t="shared" si="16"/>
        <v>200000</v>
      </c>
      <c r="M177" s="48" t="s">
        <v>38</v>
      </c>
      <c r="N177" s="291">
        <v>29</v>
      </c>
      <c r="O177" s="289" t="s">
        <v>481</v>
      </c>
      <c r="P177" s="291" t="s">
        <v>376</v>
      </c>
      <c r="Q177" s="291">
        <v>1</v>
      </c>
      <c r="R177" s="320">
        <v>1000</v>
      </c>
      <c r="S177" s="317">
        <f t="shared" si="17"/>
        <v>1000</v>
      </c>
      <c r="T177" s="291" t="s">
        <v>372</v>
      </c>
    </row>
    <row r="178" spans="2:20">
      <c r="B178" s="48" t="s">
        <v>887</v>
      </c>
      <c r="C178" s="454">
        <v>120</v>
      </c>
      <c r="D178" s="48" t="s">
        <v>1271</v>
      </c>
      <c r="E178" s="48" t="s">
        <v>1132</v>
      </c>
      <c r="F178" s="48">
        <v>10</v>
      </c>
      <c r="G178" s="320">
        <v>1000</v>
      </c>
      <c r="H178" s="317">
        <f t="shared" si="16"/>
        <v>10000</v>
      </c>
      <c r="M178" s="48" t="s">
        <v>38</v>
      </c>
      <c r="N178" s="291">
        <v>30</v>
      </c>
      <c r="O178" s="289" t="s">
        <v>482</v>
      </c>
      <c r="P178" s="291" t="s">
        <v>376</v>
      </c>
      <c r="Q178" s="291">
        <v>2</v>
      </c>
      <c r="R178" s="320">
        <v>1000</v>
      </c>
      <c r="S178" s="317">
        <f t="shared" si="17"/>
        <v>2000</v>
      </c>
      <c r="T178" s="291" t="s">
        <v>372</v>
      </c>
    </row>
    <row r="179" spans="2:20">
      <c r="B179" s="48" t="s">
        <v>887</v>
      </c>
      <c r="C179" s="454">
        <v>121</v>
      </c>
      <c r="D179" s="48" t="s">
        <v>1272</v>
      </c>
      <c r="E179" s="48" t="s">
        <v>1132</v>
      </c>
      <c r="F179" s="48">
        <v>10</v>
      </c>
      <c r="G179" s="320">
        <v>1000</v>
      </c>
      <c r="H179" s="317">
        <f t="shared" si="16"/>
        <v>10000</v>
      </c>
      <c r="M179" s="48" t="s">
        <v>38</v>
      </c>
      <c r="N179" s="291">
        <v>31</v>
      </c>
      <c r="O179" s="289" t="s">
        <v>506</v>
      </c>
      <c r="P179" s="291" t="s">
        <v>376</v>
      </c>
      <c r="Q179" s="291">
        <v>1</v>
      </c>
      <c r="R179" s="320">
        <v>1000</v>
      </c>
      <c r="S179" s="317">
        <f t="shared" si="17"/>
        <v>1000</v>
      </c>
      <c r="T179" s="291" t="s">
        <v>372</v>
      </c>
    </row>
    <row r="180" spans="2:20">
      <c r="B180" s="48" t="s">
        <v>887</v>
      </c>
      <c r="C180" s="454">
        <v>122</v>
      </c>
      <c r="D180" s="48" t="s">
        <v>1273</v>
      </c>
      <c r="E180" s="48" t="s">
        <v>1132</v>
      </c>
      <c r="F180" s="48">
        <v>5</v>
      </c>
      <c r="G180" s="320">
        <v>1000</v>
      </c>
      <c r="H180" s="317">
        <f t="shared" si="16"/>
        <v>5000</v>
      </c>
      <c r="M180" s="48" t="s">
        <v>38</v>
      </c>
      <c r="N180" s="291">
        <v>32</v>
      </c>
      <c r="O180" s="289" t="s">
        <v>483</v>
      </c>
      <c r="P180" s="291" t="s">
        <v>376</v>
      </c>
      <c r="Q180" s="291">
        <v>3</v>
      </c>
      <c r="R180" s="320">
        <v>1000</v>
      </c>
      <c r="S180" s="317">
        <f t="shared" si="17"/>
        <v>3000</v>
      </c>
      <c r="T180" s="291" t="s">
        <v>372</v>
      </c>
    </row>
    <row r="181" spans="2:20" ht="14.25">
      <c r="B181" s="48" t="s">
        <v>887</v>
      </c>
      <c r="C181" s="454">
        <v>123</v>
      </c>
      <c r="D181" s="48" t="s">
        <v>1275</v>
      </c>
      <c r="E181" s="48" t="s">
        <v>1132</v>
      </c>
      <c r="F181" s="48">
        <v>5</v>
      </c>
      <c r="G181" s="320">
        <v>1000</v>
      </c>
      <c r="H181" s="317">
        <f t="shared" si="16"/>
        <v>5000</v>
      </c>
      <c r="M181" s="48" t="s">
        <v>38</v>
      </c>
      <c r="N181" s="291">
        <v>33</v>
      </c>
      <c r="O181" s="289" t="s">
        <v>445</v>
      </c>
      <c r="P181" s="291" t="s">
        <v>376</v>
      </c>
      <c r="Q181" s="291">
        <v>1</v>
      </c>
      <c r="R181" s="320">
        <v>1000</v>
      </c>
      <c r="S181" s="317">
        <f t="shared" si="17"/>
        <v>1000</v>
      </c>
      <c r="T181" s="291" t="s">
        <v>372</v>
      </c>
    </row>
    <row r="182" spans="2:20" ht="14.25">
      <c r="B182" s="48" t="s">
        <v>887</v>
      </c>
      <c r="C182" s="454">
        <v>124</v>
      </c>
      <c r="D182" s="48" t="s">
        <v>1277</v>
      </c>
      <c r="E182" s="48" t="s">
        <v>1132</v>
      </c>
      <c r="F182" s="48">
        <v>2</v>
      </c>
      <c r="G182" s="320">
        <v>1000</v>
      </c>
      <c r="H182" s="317">
        <f t="shared" si="16"/>
        <v>2000</v>
      </c>
      <c r="M182" s="48" t="s">
        <v>38</v>
      </c>
      <c r="N182" s="291">
        <v>34</v>
      </c>
      <c r="O182" s="289" t="s">
        <v>484</v>
      </c>
      <c r="P182" s="291" t="s">
        <v>376</v>
      </c>
      <c r="Q182" s="291">
        <v>2</v>
      </c>
      <c r="R182" s="320">
        <v>1000</v>
      </c>
      <c r="S182" s="317">
        <f t="shared" si="17"/>
        <v>2000</v>
      </c>
      <c r="T182" s="291" t="s">
        <v>372</v>
      </c>
    </row>
    <row r="183" spans="2:20" ht="14.25">
      <c r="B183" s="48" t="s">
        <v>887</v>
      </c>
      <c r="C183" s="454">
        <v>125</v>
      </c>
      <c r="D183" s="48" t="s">
        <v>1279</v>
      </c>
      <c r="E183" s="48" t="s">
        <v>1132</v>
      </c>
      <c r="F183" s="48">
        <v>20</v>
      </c>
      <c r="G183" s="320">
        <v>1000</v>
      </c>
      <c r="H183" s="317">
        <f t="shared" si="16"/>
        <v>20000</v>
      </c>
      <c r="M183" s="48" t="s">
        <v>38</v>
      </c>
      <c r="N183" s="291">
        <v>35</v>
      </c>
      <c r="O183" s="289" t="s">
        <v>485</v>
      </c>
      <c r="P183" s="291" t="s">
        <v>376</v>
      </c>
      <c r="Q183" s="291">
        <v>1</v>
      </c>
      <c r="R183" s="320">
        <v>1000</v>
      </c>
      <c r="S183" s="317">
        <f t="shared" si="17"/>
        <v>1000</v>
      </c>
      <c r="T183" s="291" t="s">
        <v>372</v>
      </c>
    </row>
    <row r="184" spans="2:20">
      <c r="B184" s="48" t="s">
        <v>887</v>
      </c>
      <c r="C184" s="454">
        <v>126</v>
      </c>
      <c r="D184" s="48" t="s">
        <v>1281</v>
      </c>
      <c r="E184" s="48" t="s">
        <v>1132</v>
      </c>
      <c r="F184" s="48">
        <v>2</v>
      </c>
      <c r="G184" s="320">
        <v>1000</v>
      </c>
      <c r="H184" s="317">
        <f t="shared" si="16"/>
        <v>2000</v>
      </c>
      <c r="M184" s="48" t="s">
        <v>38</v>
      </c>
      <c r="N184" s="291">
        <v>36</v>
      </c>
      <c r="O184" s="289" t="s">
        <v>507</v>
      </c>
      <c r="P184" s="291" t="s">
        <v>376</v>
      </c>
      <c r="Q184" s="291">
        <v>1</v>
      </c>
      <c r="R184" s="320">
        <v>1000</v>
      </c>
      <c r="S184" s="317">
        <f t="shared" si="17"/>
        <v>1000</v>
      </c>
      <c r="T184" s="291" t="s">
        <v>372</v>
      </c>
    </row>
    <row r="185" spans="2:20">
      <c r="B185" s="48" t="s">
        <v>887</v>
      </c>
      <c r="C185" s="454">
        <v>127</v>
      </c>
      <c r="D185" s="48" t="s">
        <v>1283</v>
      </c>
      <c r="E185" s="48" t="s">
        <v>1132</v>
      </c>
      <c r="F185" s="48">
        <v>1000</v>
      </c>
      <c r="G185" s="320">
        <v>1000</v>
      </c>
      <c r="H185" s="317">
        <f t="shared" si="16"/>
        <v>1000000</v>
      </c>
      <c r="M185" s="48" t="s">
        <v>38</v>
      </c>
      <c r="N185" s="291">
        <v>37</v>
      </c>
      <c r="O185" s="289" t="s">
        <v>508</v>
      </c>
      <c r="P185" s="291" t="s">
        <v>376</v>
      </c>
      <c r="Q185" s="291">
        <v>1</v>
      </c>
      <c r="R185" s="320">
        <v>1000</v>
      </c>
      <c r="S185" s="317">
        <f t="shared" si="17"/>
        <v>1000</v>
      </c>
      <c r="T185" s="291" t="s">
        <v>372</v>
      </c>
    </row>
    <row r="186" spans="2:20">
      <c r="B186" s="48" t="s">
        <v>887</v>
      </c>
      <c r="C186" s="454">
        <v>128</v>
      </c>
      <c r="D186" s="48" t="s">
        <v>1285</v>
      </c>
      <c r="E186" s="48" t="s">
        <v>1132</v>
      </c>
      <c r="F186" s="48">
        <v>20</v>
      </c>
      <c r="G186" s="320">
        <v>1000</v>
      </c>
      <c r="H186" s="317">
        <f t="shared" si="16"/>
        <v>20000</v>
      </c>
      <c r="M186" s="48" t="s">
        <v>38</v>
      </c>
      <c r="N186" s="291">
        <v>38</v>
      </c>
      <c r="O186" s="289" t="s">
        <v>509</v>
      </c>
      <c r="P186" s="291" t="s">
        <v>376</v>
      </c>
      <c r="Q186" s="291">
        <v>1</v>
      </c>
      <c r="R186" s="320">
        <v>1000</v>
      </c>
      <c r="S186" s="317">
        <f t="shared" si="17"/>
        <v>1000</v>
      </c>
      <c r="T186" s="291" t="s">
        <v>372</v>
      </c>
    </row>
    <row r="187" spans="2:20" ht="14.25">
      <c r="B187" s="48" t="s">
        <v>887</v>
      </c>
      <c r="C187" s="454">
        <v>129</v>
      </c>
      <c r="D187" s="48" t="s">
        <v>1287</v>
      </c>
      <c r="E187" s="48" t="s">
        <v>1132</v>
      </c>
      <c r="F187" s="48">
        <v>4</v>
      </c>
      <c r="G187" s="320">
        <v>1000</v>
      </c>
      <c r="H187" s="317">
        <f t="shared" si="16"/>
        <v>4000</v>
      </c>
      <c r="M187" s="48" t="s">
        <v>38</v>
      </c>
      <c r="N187" s="291">
        <v>39</v>
      </c>
      <c r="O187" s="289" t="s">
        <v>486</v>
      </c>
      <c r="P187" s="291" t="s">
        <v>376</v>
      </c>
      <c r="Q187" s="291">
        <v>2</v>
      </c>
      <c r="R187" s="320">
        <v>1000</v>
      </c>
      <c r="S187" s="317">
        <f t="shared" si="17"/>
        <v>2000</v>
      </c>
      <c r="T187" s="291" t="s">
        <v>372</v>
      </c>
    </row>
    <row r="188" spans="2:20" ht="14.25">
      <c r="B188" s="48" t="s">
        <v>887</v>
      </c>
      <c r="C188" s="454">
        <v>130</v>
      </c>
      <c r="D188" s="48" t="s">
        <v>1289</v>
      </c>
      <c r="E188" s="48" t="s">
        <v>1132</v>
      </c>
      <c r="F188" s="48">
        <v>9</v>
      </c>
      <c r="G188" s="320">
        <v>1000</v>
      </c>
      <c r="H188" s="317">
        <f t="shared" ref="H188:H249" si="18">G188*F188</f>
        <v>9000</v>
      </c>
      <c r="M188" s="48" t="s">
        <v>38</v>
      </c>
      <c r="N188" s="291">
        <v>40</v>
      </c>
      <c r="O188" s="289" t="s">
        <v>487</v>
      </c>
      <c r="P188" s="291" t="s">
        <v>376</v>
      </c>
      <c r="Q188" s="291">
        <v>3</v>
      </c>
      <c r="R188" s="320">
        <v>1000</v>
      </c>
      <c r="S188" s="317">
        <f t="shared" si="17"/>
        <v>3000</v>
      </c>
      <c r="T188" s="291" t="s">
        <v>372</v>
      </c>
    </row>
    <row r="189" spans="2:20">
      <c r="B189" s="48" t="s">
        <v>887</v>
      </c>
      <c r="C189" s="454">
        <v>131</v>
      </c>
      <c r="D189" s="48" t="s">
        <v>1292</v>
      </c>
      <c r="E189" s="48" t="s">
        <v>1132</v>
      </c>
      <c r="F189" s="48">
        <v>10</v>
      </c>
      <c r="G189" s="320">
        <v>1000</v>
      </c>
      <c r="H189" s="317">
        <f t="shared" si="18"/>
        <v>10000</v>
      </c>
      <c r="M189" s="48" t="s">
        <v>38</v>
      </c>
      <c r="N189" s="291">
        <v>41</v>
      </c>
      <c r="O189" s="289" t="s">
        <v>488</v>
      </c>
      <c r="P189" s="291" t="s">
        <v>376</v>
      </c>
      <c r="Q189" s="291">
        <v>1</v>
      </c>
      <c r="R189" s="320">
        <v>1000</v>
      </c>
      <c r="S189" s="317">
        <f t="shared" si="17"/>
        <v>1000</v>
      </c>
      <c r="T189" s="291" t="s">
        <v>372</v>
      </c>
    </row>
    <row r="190" spans="2:20">
      <c r="B190" s="48" t="s">
        <v>887</v>
      </c>
      <c r="C190" s="454">
        <v>132</v>
      </c>
      <c r="D190" s="48" t="s">
        <v>1294</v>
      </c>
      <c r="E190" s="48" t="s">
        <v>1132</v>
      </c>
      <c r="F190" s="48">
        <v>2</v>
      </c>
      <c r="G190" s="320">
        <v>1000</v>
      </c>
      <c r="H190" s="317">
        <f t="shared" si="18"/>
        <v>2000</v>
      </c>
      <c r="M190" s="48" t="s">
        <v>38</v>
      </c>
      <c r="N190" s="291">
        <v>42</v>
      </c>
      <c r="O190" s="289" t="s">
        <v>457</v>
      </c>
      <c r="P190" s="291" t="s">
        <v>376</v>
      </c>
      <c r="Q190" s="291">
        <v>2</v>
      </c>
      <c r="R190" s="320">
        <v>1000</v>
      </c>
      <c r="S190" s="317">
        <f t="shared" si="17"/>
        <v>2000</v>
      </c>
      <c r="T190" s="291" t="s">
        <v>372</v>
      </c>
    </row>
    <row r="191" spans="2:20" ht="25.5">
      <c r="B191" s="48" t="s">
        <v>887</v>
      </c>
      <c r="C191" s="454">
        <v>133</v>
      </c>
      <c r="D191" s="48" t="s">
        <v>1296</v>
      </c>
      <c r="E191" s="48" t="s">
        <v>1132</v>
      </c>
      <c r="F191" s="48">
        <v>1</v>
      </c>
      <c r="G191" s="320">
        <v>1000</v>
      </c>
      <c r="H191" s="317">
        <f t="shared" si="18"/>
        <v>1000</v>
      </c>
      <c r="M191" s="48" t="s">
        <v>38</v>
      </c>
      <c r="N191" s="291">
        <v>43</v>
      </c>
      <c r="O191" s="289" t="s">
        <v>458</v>
      </c>
      <c r="P191" s="291" t="s">
        <v>376</v>
      </c>
      <c r="Q191" s="291">
        <v>2</v>
      </c>
      <c r="R191" s="320">
        <v>1000</v>
      </c>
      <c r="S191" s="317">
        <f t="shared" si="17"/>
        <v>2000</v>
      </c>
      <c r="T191" s="291" t="s">
        <v>372</v>
      </c>
    </row>
    <row r="192" spans="2:20">
      <c r="B192" s="48" t="s">
        <v>887</v>
      </c>
      <c r="C192" s="454">
        <v>134</v>
      </c>
      <c r="D192" s="48" t="s">
        <v>1298</v>
      </c>
      <c r="E192" s="48" t="s">
        <v>1132</v>
      </c>
      <c r="F192" s="48">
        <v>5</v>
      </c>
      <c r="G192" s="320">
        <v>1000</v>
      </c>
      <c r="H192" s="317">
        <f t="shared" si="18"/>
        <v>5000</v>
      </c>
      <c r="M192" s="48" t="s">
        <v>38</v>
      </c>
      <c r="N192" s="291">
        <v>44</v>
      </c>
      <c r="O192" s="289" t="s">
        <v>423</v>
      </c>
      <c r="P192" s="291" t="s">
        <v>376</v>
      </c>
      <c r="Q192" s="291">
        <v>2</v>
      </c>
      <c r="R192" s="320">
        <v>1000</v>
      </c>
      <c r="S192" s="317">
        <f t="shared" si="17"/>
        <v>2000</v>
      </c>
      <c r="T192" s="291" t="s">
        <v>372</v>
      </c>
    </row>
    <row r="193" spans="2:20">
      <c r="B193" s="48" t="s">
        <v>887</v>
      </c>
      <c r="C193" s="454">
        <v>135</v>
      </c>
      <c r="D193" s="48" t="s">
        <v>1300</v>
      </c>
      <c r="E193" s="48" t="s">
        <v>1132</v>
      </c>
      <c r="F193" s="48">
        <v>40</v>
      </c>
      <c r="G193" s="320">
        <v>1000</v>
      </c>
      <c r="H193" s="317">
        <f t="shared" si="18"/>
        <v>40000</v>
      </c>
      <c r="M193" s="48" t="s">
        <v>38</v>
      </c>
      <c r="N193" s="291">
        <v>45</v>
      </c>
      <c r="O193" s="289" t="s">
        <v>451</v>
      </c>
      <c r="P193" s="291" t="s">
        <v>376</v>
      </c>
      <c r="Q193" s="291">
        <v>2</v>
      </c>
      <c r="R193" s="320">
        <v>1000</v>
      </c>
      <c r="S193" s="317">
        <f t="shared" si="17"/>
        <v>2000</v>
      </c>
      <c r="T193" s="291" t="s">
        <v>372</v>
      </c>
    </row>
    <row r="194" spans="2:20">
      <c r="B194" s="48" t="s">
        <v>887</v>
      </c>
      <c r="C194" s="454">
        <v>136</v>
      </c>
      <c r="D194" s="48" t="s">
        <v>1302</v>
      </c>
      <c r="E194" s="48" t="s">
        <v>1132</v>
      </c>
      <c r="F194" s="48">
        <v>1000</v>
      </c>
      <c r="G194" s="320">
        <v>1000</v>
      </c>
      <c r="H194" s="317">
        <f t="shared" si="18"/>
        <v>1000000</v>
      </c>
      <c r="M194" s="48" t="s">
        <v>38</v>
      </c>
      <c r="N194" s="291">
        <v>46</v>
      </c>
      <c r="O194" s="289" t="s">
        <v>424</v>
      </c>
      <c r="P194" s="910" t="s">
        <v>426</v>
      </c>
      <c r="Q194" s="910"/>
      <c r="R194" s="320">
        <v>1000</v>
      </c>
      <c r="S194" s="317">
        <f t="shared" si="17"/>
        <v>0</v>
      </c>
      <c r="T194" s="291" t="s">
        <v>654</v>
      </c>
    </row>
    <row r="195" spans="2:20" ht="51">
      <c r="B195" s="48" t="s">
        <v>887</v>
      </c>
      <c r="C195" s="454">
        <v>137</v>
      </c>
      <c r="D195" s="48" t="s">
        <v>1304</v>
      </c>
      <c r="E195" s="48" t="s">
        <v>1132</v>
      </c>
      <c r="F195" s="48">
        <v>50</v>
      </c>
      <c r="G195" s="320">
        <v>1000</v>
      </c>
      <c r="H195" s="317">
        <f t="shared" si="18"/>
        <v>50000</v>
      </c>
      <c r="M195" s="48" t="s">
        <v>38</v>
      </c>
      <c r="N195" s="291">
        <v>47</v>
      </c>
      <c r="O195" s="289" t="s">
        <v>425</v>
      </c>
      <c r="P195" s="910" t="s">
        <v>426</v>
      </c>
      <c r="Q195" s="910"/>
      <c r="R195" s="320">
        <v>1000</v>
      </c>
      <c r="S195" s="317">
        <f t="shared" si="17"/>
        <v>0</v>
      </c>
      <c r="T195" s="291" t="s">
        <v>372</v>
      </c>
    </row>
    <row r="196" spans="2:20">
      <c r="B196" s="48" t="s">
        <v>887</v>
      </c>
      <c r="C196" s="454">
        <v>138</v>
      </c>
      <c r="D196" s="48" t="s">
        <v>1306</v>
      </c>
      <c r="E196" s="48" t="s">
        <v>1132</v>
      </c>
      <c r="F196" s="48">
        <v>10</v>
      </c>
      <c r="G196" s="320">
        <v>1000</v>
      </c>
      <c r="H196" s="317">
        <f t="shared" si="18"/>
        <v>10000</v>
      </c>
      <c r="M196" s="48" t="s">
        <v>38</v>
      </c>
      <c r="N196" s="291">
        <v>48</v>
      </c>
      <c r="O196" s="289" t="s">
        <v>427</v>
      </c>
      <c r="P196" s="291" t="s">
        <v>376</v>
      </c>
      <c r="Q196" s="291">
        <v>1</v>
      </c>
      <c r="R196" s="320">
        <v>1000</v>
      </c>
      <c r="S196" s="317">
        <f t="shared" si="17"/>
        <v>1000</v>
      </c>
      <c r="T196" s="291" t="s">
        <v>372</v>
      </c>
    </row>
    <row r="197" spans="2:20">
      <c r="B197" s="48" t="s">
        <v>39</v>
      </c>
      <c r="C197" s="454">
        <v>139</v>
      </c>
      <c r="D197" s="48" t="s">
        <v>1309</v>
      </c>
      <c r="E197" s="48" t="s">
        <v>564</v>
      </c>
      <c r="F197" s="48">
        <v>1</v>
      </c>
      <c r="G197" s="320">
        <v>1000</v>
      </c>
      <c r="H197" s="317">
        <f t="shared" si="18"/>
        <v>1000</v>
      </c>
      <c r="M197" s="48" t="s">
        <v>38</v>
      </c>
      <c r="N197" s="291">
        <v>49</v>
      </c>
      <c r="O197" s="289" t="s">
        <v>428</v>
      </c>
      <c r="P197" s="291" t="s">
        <v>376</v>
      </c>
      <c r="Q197" s="291">
        <v>1</v>
      </c>
      <c r="R197" s="320">
        <v>1000</v>
      </c>
      <c r="S197" s="317">
        <f t="shared" si="17"/>
        <v>1000</v>
      </c>
      <c r="T197" s="291" t="s">
        <v>372</v>
      </c>
    </row>
    <row r="198" spans="2:20" ht="18.75">
      <c r="B198" s="48" t="s">
        <v>39</v>
      </c>
      <c r="C198" s="454">
        <v>140</v>
      </c>
      <c r="D198" s="48" t="s">
        <v>1311</v>
      </c>
      <c r="E198" s="48" t="s">
        <v>1132</v>
      </c>
      <c r="F198" s="48">
        <v>1</v>
      </c>
      <c r="G198" s="320">
        <v>1000</v>
      </c>
      <c r="H198" s="317">
        <f t="shared" si="18"/>
        <v>1000</v>
      </c>
      <c r="M198" s="48" t="s">
        <v>38</v>
      </c>
      <c r="N198" s="291">
        <v>50</v>
      </c>
      <c r="O198" s="289" t="s">
        <v>429</v>
      </c>
      <c r="P198" s="291" t="s">
        <v>376</v>
      </c>
      <c r="Q198" s="291">
        <v>1</v>
      </c>
      <c r="R198" s="320">
        <v>1000</v>
      </c>
      <c r="S198" s="317">
        <f t="shared" si="17"/>
        <v>1000</v>
      </c>
      <c r="T198" s="291" t="s">
        <v>372</v>
      </c>
    </row>
    <row r="199" spans="2:20">
      <c r="B199" s="48" t="s">
        <v>39</v>
      </c>
      <c r="C199" s="454">
        <v>141</v>
      </c>
      <c r="D199" s="48" t="s">
        <v>1313</v>
      </c>
      <c r="E199" s="48" t="s">
        <v>1132</v>
      </c>
      <c r="F199" s="48">
        <v>1</v>
      </c>
      <c r="G199" s="320">
        <v>1000</v>
      </c>
      <c r="H199" s="317">
        <f t="shared" si="18"/>
        <v>1000</v>
      </c>
      <c r="M199" s="48" t="s">
        <v>38</v>
      </c>
      <c r="N199" s="291">
        <v>51</v>
      </c>
      <c r="O199" s="289" t="s">
        <v>479</v>
      </c>
      <c r="P199" s="291" t="s">
        <v>376</v>
      </c>
      <c r="Q199" s="291">
        <v>1</v>
      </c>
      <c r="R199" s="320">
        <v>1000</v>
      </c>
      <c r="S199" s="317">
        <f t="shared" si="17"/>
        <v>1000</v>
      </c>
      <c r="T199" s="291" t="s">
        <v>372</v>
      </c>
    </row>
    <row r="200" spans="2:20">
      <c r="B200" s="48" t="s">
        <v>39</v>
      </c>
      <c r="C200" s="454">
        <v>142</v>
      </c>
      <c r="D200" s="48" t="s">
        <v>472</v>
      </c>
      <c r="E200" s="48" t="s">
        <v>1132</v>
      </c>
      <c r="F200" s="48">
        <v>1</v>
      </c>
      <c r="G200" s="320">
        <v>1000</v>
      </c>
      <c r="H200" s="317">
        <f t="shared" si="18"/>
        <v>1000</v>
      </c>
      <c r="M200" s="48" t="s">
        <v>38</v>
      </c>
      <c r="N200" s="291">
        <v>52</v>
      </c>
      <c r="O200" s="289" t="s">
        <v>489</v>
      </c>
      <c r="P200" s="291" t="s">
        <v>401</v>
      </c>
      <c r="Q200" s="291">
        <v>1</v>
      </c>
      <c r="R200" s="320">
        <v>1000</v>
      </c>
      <c r="S200" s="317">
        <f t="shared" si="17"/>
        <v>1000</v>
      </c>
      <c r="T200" s="291" t="s">
        <v>372</v>
      </c>
    </row>
    <row r="201" spans="2:20">
      <c r="B201" s="48" t="s">
        <v>39</v>
      </c>
      <c r="C201" s="454">
        <v>143</v>
      </c>
      <c r="D201" s="48" t="s">
        <v>1316</v>
      </c>
      <c r="E201" s="48" t="s">
        <v>1132</v>
      </c>
      <c r="F201" s="48">
        <v>1</v>
      </c>
      <c r="G201" s="320">
        <v>1000</v>
      </c>
      <c r="H201" s="317">
        <f t="shared" si="18"/>
        <v>1000</v>
      </c>
      <c r="M201" s="48" t="s">
        <v>38</v>
      </c>
      <c r="N201" s="291">
        <v>53</v>
      </c>
      <c r="O201" s="289" t="s">
        <v>444</v>
      </c>
      <c r="P201" s="291" t="s">
        <v>376</v>
      </c>
      <c r="Q201" s="291">
        <v>1</v>
      </c>
      <c r="R201" s="320">
        <v>1000</v>
      </c>
      <c r="S201" s="317">
        <f t="shared" ref="S201:S264" si="19">R201*Q201</f>
        <v>1000</v>
      </c>
      <c r="T201" s="291" t="s">
        <v>372</v>
      </c>
    </row>
    <row r="202" spans="2:20">
      <c r="B202" s="48" t="s">
        <v>39</v>
      </c>
      <c r="C202" s="454">
        <v>145</v>
      </c>
      <c r="D202" s="48" t="s">
        <v>1245</v>
      </c>
      <c r="E202" s="48" t="s">
        <v>1132</v>
      </c>
      <c r="F202" s="48">
        <v>1</v>
      </c>
      <c r="G202" s="320">
        <v>1000</v>
      </c>
      <c r="H202" s="317">
        <f t="shared" si="18"/>
        <v>1000</v>
      </c>
      <c r="M202" s="48" t="s">
        <v>38</v>
      </c>
      <c r="N202" s="291">
        <v>54</v>
      </c>
      <c r="O202" s="289" t="s">
        <v>434</v>
      </c>
      <c r="P202" s="291" t="s">
        <v>376</v>
      </c>
      <c r="Q202" s="291">
        <v>1</v>
      </c>
      <c r="R202" s="320">
        <v>1000</v>
      </c>
      <c r="S202" s="317">
        <f t="shared" si="19"/>
        <v>1000</v>
      </c>
      <c r="T202" s="291" t="s">
        <v>372</v>
      </c>
    </row>
    <row r="203" spans="2:20">
      <c r="B203" s="48" t="s">
        <v>39</v>
      </c>
      <c r="C203" s="454">
        <v>146</v>
      </c>
      <c r="D203" s="48" t="s">
        <v>436</v>
      </c>
      <c r="E203" s="48" t="s">
        <v>1132</v>
      </c>
      <c r="F203" s="48">
        <v>1</v>
      </c>
      <c r="G203" s="320">
        <v>1000</v>
      </c>
      <c r="H203" s="317">
        <f t="shared" si="18"/>
        <v>1000</v>
      </c>
      <c r="M203" s="48" t="s">
        <v>38</v>
      </c>
      <c r="N203" s="291">
        <v>55</v>
      </c>
      <c r="O203" s="289" t="s">
        <v>492</v>
      </c>
      <c r="P203" s="291" t="s">
        <v>376</v>
      </c>
      <c r="Q203" s="291">
        <v>3</v>
      </c>
      <c r="R203" s="320">
        <v>1000</v>
      </c>
      <c r="S203" s="317">
        <f t="shared" si="19"/>
        <v>3000</v>
      </c>
      <c r="T203" s="291" t="s">
        <v>654</v>
      </c>
    </row>
    <row r="204" spans="2:20">
      <c r="B204" s="48" t="s">
        <v>39</v>
      </c>
      <c r="C204" s="454">
        <v>147</v>
      </c>
      <c r="D204" s="48" t="s">
        <v>1294</v>
      </c>
      <c r="E204" s="48" t="s">
        <v>1132</v>
      </c>
      <c r="F204" s="48">
        <v>2</v>
      </c>
      <c r="G204" s="320">
        <v>1000</v>
      </c>
      <c r="H204" s="317">
        <f t="shared" si="18"/>
        <v>2000</v>
      </c>
      <c r="M204" s="48" t="s">
        <v>38</v>
      </c>
      <c r="N204" s="291">
        <v>56</v>
      </c>
      <c r="O204" s="289" t="s">
        <v>491</v>
      </c>
      <c r="P204" s="291" t="s">
        <v>376</v>
      </c>
      <c r="Q204" s="291">
        <v>200</v>
      </c>
      <c r="R204" s="320">
        <v>1000</v>
      </c>
      <c r="S204" s="317">
        <f t="shared" si="19"/>
        <v>200000</v>
      </c>
      <c r="T204" s="291" t="s">
        <v>372</v>
      </c>
    </row>
    <row r="205" spans="2:20">
      <c r="B205" s="48" t="s">
        <v>39</v>
      </c>
      <c r="C205" s="454">
        <v>148</v>
      </c>
      <c r="D205" s="48" t="s">
        <v>1323</v>
      </c>
      <c r="E205" s="48" t="s">
        <v>1132</v>
      </c>
      <c r="F205" s="48">
        <v>1</v>
      </c>
      <c r="G205" s="320">
        <v>1000</v>
      </c>
      <c r="H205" s="317">
        <f t="shared" si="18"/>
        <v>1000</v>
      </c>
      <c r="M205" s="48" t="s">
        <v>38</v>
      </c>
      <c r="N205" s="291">
        <v>57</v>
      </c>
      <c r="O205" s="289" t="s">
        <v>462</v>
      </c>
      <c r="P205" s="291" t="s">
        <v>376</v>
      </c>
      <c r="Q205" s="291">
        <v>1</v>
      </c>
      <c r="R205" s="320">
        <v>1000</v>
      </c>
      <c r="S205" s="317">
        <f t="shared" si="19"/>
        <v>1000</v>
      </c>
      <c r="T205" s="291" t="s">
        <v>372</v>
      </c>
    </row>
    <row r="206" spans="2:20">
      <c r="B206" s="48" t="s">
        <v>39</v>
      </c>
      <c r="C206" s="454">
        <v>150</v>
      </c>
      <c r="D206" s="48" t="s">
        <v>1327</v>
      </c>
      <c r="E206" s="48" t="s">
        <v>1132</v>
      </c>
      <c r="F206" s="48">
        <v>1</v>
      </c>
      <c r="G206" s="320">
        <v>1000</v>
      </c>
      <c r="H206" s="317">
        <f t="shared" si="18"/>
        <v>1000</v>
      </c>
      <c r="M206" s="48" t="s">
        <v>38</v>
      </c>
      <c r="N206" s="291">
        <v>58</v>
      </c>
      <c r="O206" s="289" t="s">
        <v>415</v>
      </c>
      <c r="P206" s="291" t="s">
        <v>376</v>
      </c>
      <c r="Q206" s="291">
        <v>2</v>
      </c>
      <c r="R206" s="320">
        <v>1000</v>
      </c>
      <c r="S206" s="317">
        <f t="shared" si="19"/>
        <v>2000</v>
      </c>
      <c r="T206" s="291" t="s">
        <v>654</v>
      </c>
    </row>
    <row r="207" spans="2:20" ht="18.75">
      <c r="B207" s="48" t="s">
        <v>39</v>
      </c>
      <c r="C207" s="454">
        <v>151</v>
      </c>
      <c r="D207" s="48" t="s">
        <v>1296</v>
      </c>
      <c r="E207" s="48" t="s">
        <v>1132</v>
      </c>
      <c r="F207" s="48">
        <v>1</v>
      </c>
      <c r="G207" s="320">
        <v>1000</v>
      </c>
      <c r="H207" s="317">
        <f t="shared" si="18"/>
        <v>1000</v>
      </c>
      <c r="M207" s="48" t="s">
        <v>38</v>
      </c>
      <c r="N207" s="291">
        <v>59</v>
      </c>
      <c r="O207" s="289" t="s">
        <v>464</v>
      </c>
      <c r="P207" s="291" t="s">
        <v>376</v>
      </c>
      <c r="Q207" s="291">
        <v>2</v>
      </c>
      <c r="R207" s="320">
        <v>1000</v>
      </c>
      <c r="S207" s="317">
        <f t="shared" si="19"/>
        <v>2000</v>
      </c>
      <c r="T207" s="291" t="s">
        <v>654</v>
      </c>
    </row>
    <row r="208" spans="2:20" ht="18.75">
      <c r="B208" s="48" t="s">
        <v>39</v>
      </c>
      <c r="C208" s="454">
        <v>152</v>
      </c>
      <c r="D208" s="48" t="s">
        <v>1330</v>
      </c>
      <c r="E208" s="48" t="s">
        <v>1132</v>
      </c>
      <c r="F208" s="48">
        <v>1</v>
      </c>
      <c r="G208" s="320">
        <v>1000</v>
      </c>
      <c r="H208" s="317">
        <f t="shared" si="18"/>
        <v>1000</v>
      </c>
      <c r="M208" s="48" t="s">
        <v>38</v>
      </c>
      <c r="N208" s="291">
        <v>60</v>
      </c>
      <c r="O208" s="289" t="s">
        <v>465</v>
      </c>
      <c r="P208" s="291" t="s">
        <v>376</v>
      </c>
      <c r="Q208" s="291">
        <v>1</v>
      </c>
      <c r="R208" s="320">
        <v>1000</v>
      </c>
      <c r="S208" s="317">
        <f t="shared" si="19"/>
        <v>1000</v>
      </c>
      <c r="T208" s="291" t="s">
        <v>654</v>
      </c>
    </row>
    <row r="209" spans="2:20">
      <c r="B209" s="48" t="s">
        <v>39</v>
      </c>
      <c r="C209" s="454">
        <v>153</v>
      </c>
      <c r="D209" s="48" t="s">
        <v>389</v>
      </c>
      <c r="E209" s="48" t="s">
        <v>1132</v>
      </c>
      <c r="F209" s="48">
        <v>1</v>
      </c>
      <c r="G209" s="320">
        <v>1000</v>
      </c>
      <c r="H209" s="317">
        <f t="shared" si="18"/>
        <v>1000</v>
      </c>
      <c r="M209" s="48" t="s">
        <v>38</v>
      </c>
      <c r="N209" s="291">
        <v>61</v>
      </c>
      <c r="O209" s="289" t="s">
        <v>418</v>
      </c>
      <c r="P209" s="291" t="s">
        <v>406</v>
      </c>
      <c r="Q209" s="291">
        <v>1</v>
      </c>
      <c r="R209" s="320">
        <v>1000</v>
      </c>
      <c r="S209" s="317">
        <f t="shared" si="19"/>
        <v>1000</v>
      </c>
      <c r="T209" s="291" t="s">
        <v>655</v>
      </c>
    </row>
    <row r="210" spans="2:20" ht="25.5">
      <c r="B210" s="48" t="s">
        <v>39</v>
      </c>
      <c r="C210" s="454">
        <v>154</v>
      </c>
      <c r="D210" s="48" t="s">
        <v>1333</v>
      </c>
      <c r="E210" s="48" t="s">
        <v>1132</v>
      </c>
      <c r="F210" s="48">
        <v>1</v>
      </c>
      <c r="G210" s="320">
        <v>1000</v>
      </c>
      <c r="H210" s="317">
        <f t="shared" si="18"/>
        <v>1000</v>
      </c>
      <c r="M210" s="48" t="s">
        <v>1586</v>
      </c>
      <c r="N210" s="291">
        <v>1</v>
      </c>
      <c r="O210" s="289" t="s">
        <v>510</v>
      </c>
      <c r="P210" s="291" t="s">
        <v>401</v>
      </c>
      <c r="Q210" s="291">
        <v>1</v>
      </c>
      <c r="R210" s="320">
        <v>1000</v>
      </c>
      <c r="S210" s="317">
        <f t="shared" si="19"/>
        <v>1000</v>
      </c>
      <c r="T210" s="291" t="s">
        <v>372</v>
      </c>
    </row>
    <row r="211" spans="2:20" ht="25.5">
      <c r="B211" s="48" t="s">
        <v>38</v>
      </c>
      <c r="C211" s="454">
        <v>155</v>
      </c>
      <c r="D211" s="48" t="s">
        <v>1336</v>
      </c>
      <c r="E211" s="48" t="s">
        <v>1132</v>
      </c>
      <c r="F211" s="48">
        <v>2</v>
      </c>
      <c r="G211" s="320">
        <v>1000</v>
      </c>
      <c r="H211" s="317">
        <f t="shared" si="18"/>
        <v>2000</v>
      </c>
      <c r="M211" s="48" t="s">
        <v>51</v>
      </c>
      <c r="N211" s="291">
        <v>2</v>
      </c>
      <c r="O211" s="289" t="s">
        <v>511</v>
      </c>
      <c r="P211" s="291" t="s">
        <v>401</v>
      </c>
      <c r="Q211" s="291">
        <v>1</v>
      </c>
      <c r="R211" s="320">
        <v>1000</v>
      </c>
      <c r="S211" s="317">
        <f t="shared" si="19"/>
        <v>1000</v>
      </c>
      <c r="T211" s="291" t="s">
        <v>372</v>
      </c>
    </row>
    <row r="212" spans="2:20">
      <c r="B212" s="48" t="s">
        <v>38</v>
      </c>
      <c r="C212" s="454">
        <v>156</v>
      </c>
      <c r="D212" s="48" t="s">
        <v>699</v>
      </c>
      <c r="E212" s="48" t="s">
        <v>1132</v>
      </c>
      <c r="F212" s="48">
        <v>1</v>
      </c>
      <c r="G212" s="320">
        <v>1000</v>
      </c>
      <c r="H212" s="317">
        <f t="shared" si="18"/>
        <v>1000</v>
      </c>
      <c r="M212" s="48" t="s">
        <v>23</v>
      </c>
      <c r="N212" s="291">
        <v>3</v>
      </c>
      <c r="O212" s="289" t="s">
        <v>512</v>
      </c>
      <c r="P212" s="291" t="s">
        <v>401</v>
      </c>
      <c r="Q212" s="291">
        <v>1</v>
      </c>
      <c r="R212" s="320">
        <v>1000</v>
      </c>
      <c r="S212" s="317">
        <f t="shared" si="19"/>
        <v>1000</v>
      </c>
      <c r="T212" s="291" t="s">
        <v>372</v>
      </c>
    </row>
    <row r="213" spans="2:20" ht="25.5">
      <c r="B213" s="48" t="s">
        <v>38</v>
      </c>
      <c r="C213" s="454">
        <v>157</v>
      </c>
      <c r="D213" s="48" t="s">
        <v>1339</v>
      </c>
      <c r="E213" s="48" t="s">
        <v>1132</v>
      </c>
      <c r="F213" s="48">
        <v>1</v>
      </c>
      <c r="G213" s="320">
        <v>1000</v>
      </c>
      <c r="H213" s="317">
        <f t="shared" si="18"/>
        <v>1000</v>
      </c>
      <c r="M213" s="48" t="s">
        <v>23</v>
      </c>
      <c r="N213" s="291">
        <v>4</v>
      </c>
      <c r="O213" s="289" t="s">
        <v>513</v>
      </c>
      <c r="P213" s="291" t="s">
        <v>401</v>
      </c>
      <c r="Q213" s="291">
        <v>1</v>
      </c>
      <c r="R213" s="320">
        <v>1000</v>
      </c>
      <c r="S213" s="317">
        <f t="shared" si="19"/>
        <v>1000</v>
      </c>
      <c r="T213" s="291" t="s">
        <v>372</v>
      </c>
    </row>
    <row r="214" spans="2:20" ht="25.5">
      <c r="B214" s="48" t="s">
        <v>38</v>
      </c>
      <c r="C214" s="454">
        <v>158</v>
      </c>
      <c r="D214" s="48" t="s">
        <v>389</v>
      </c>
      <c r="E214" s="48" t="s">
        <v>1132</v>
      </c>
      <c r="F214" s="48">
        <v>1</v>
      </c>
      <c r="G214" s="320">
        <v>1000</v>
      </c>
      <c r="H214" s="317">
        <f t="shared" si="18"/>
        <v>1000</v>
      </c>
      <c r="M214" s="48" t="s">
        <v>23</v>
      </c>
      <c r="N214" s="291">
        <v>5</v>
      </c>
      <c r="O214" s="289" t="s">
        <v>514</v>
      </c>
      <c r="P214" s="291" t="s">
        <v>401</v>
      </c>
      <c r="Q214" s="291">
        <v>1</v>
      </c>
      <c r="R214" s="320">
        <v>1000</v>
      </c>
      <c r="S214" s="317">
        <f t="shared" si="19"/>
        <v>1000</v>
      </c>
      <c r="T214" s="291" t="s">
        <v>372</v>
      </c>
    </row>
    <row r="215" spans="2:20">
      <c r="B215" s="48" t="s">
        <v>38</v>
      </c>
      <c r="C215" s="454">
        <v>159</v>
      </c>
      <c r="D215" s="48" t="s">
        <v>451</v>
      </c>
      <c r="E215" s="48" t="s">
        <v>1132</v>
      </c>
      <c r="F215" s="48">
        <v>1</v>
      </c>
      <c r="G215" s="320">
        <v>1000</v>
      </c>
      <c r="H215" s="317">
        <f t="shared" si="18"/>
        <v>1000</v>
      </c>
      <c r="M215" s="48" t="s">
        <v>23</v>
      </c>
      <c r="N215" s="291">
        <v>6</v>
      </c>
      <c r="O215" s="289" t="s">
        <v>515</v>
      </c>
      <c r="P215" s="291" t="s">
        <v>401</v>
      </c>
      <c r="Q215" s="291">
        <v>2</v>
      </c>
      <c r="R215" s="320">
        <v>1000</v>
      </c>
      <c r="S215" s="317">
        <f t="shared" si="19"/>
        <v>2000</v>
      </c>
      <c r="T215" s="291" t="s">
        <v>372</v>
      </c>
    </row>
    <row r="216" spans="2:20">
      <c r="B216" s="48" t="s">
        <v>38</v>
      </c>
      <c r="C216" s="454">
        <v>160</v>
      </c>
      <c r="D216" s="48" t="s">
        <v>1343</v>
      </c>
      <c r="E216" s="48" t="s">
        <v>1132</v>
      </c>
      <c r="F216" s="48">
        <v>1</v>
      </c>
      <c r="G216" s="320">
        <v>1000</v>
      </c>
      <c r="H216" s="317">
        <f t="shared" si="18"/>
        <v>1000</v>
      </c>
      <c r="M216" s="48" t="s">
        <v>23</v>
      </c>
      <c r="N216" s="291">
        <v>7</v>
      </c>
      <c r="O216" s="289" t="s">
        <v>516</v>
      </c>
      <c r="P216" s="291" t="s">
        <v>406</v>
      </c>
      <c r="Q216" s="291">
        <v>1</v>
      </c>
      <c r="R216" s="320">
        <v>1000</v>
      </c>
      <c r="S216" s="317">
        <f t="shared" si="19"/>
        <v>1000</v>
      </c>
      <c r="T216" s="291" t="s">
        <v>372</v>
      </c>
    </row>
    <row r="217" spans="2:20">
      <c r="B217" s="48" t="s">
        <v>38</v>
      </c>
      <c r="C217" s="454">
        <v>161</v>
      </c>
      <c r="D217" s="48" t="s">
        <v>1345</v>
      </c>
      <c r="E217" s="48" t="s">
        <v>1132</v>
      </c>
      <c r="F217" s="48">
        <v>1</v>
      </c>
      <c r="G217" s="320">
        <v>1000</v>
      </c>
      <c r="H217" s="317">
        <f t="shared" si="18"/>
        <v>1000</v>
      </c>
      <c r="M217" s="48" t="s">
        <v>23</v>
      </c>
      <c r="N217" s="291">
        <v>8</v>
      </c>
      <c r="O217" s="289" t="s">
        <v>517</v>
      </c>
      <c r="P217" s="291" t="s">
        <v>406</v>
      </c>
      <c r="Q217" s="291">
        <v>1</v>
      </c>
      <c r="R217" s="320">
        <v>1000</v>
      </c>
      <c r="S217" s="317">
        <f t="shared" si="19"/>
        <v>1000</v>
      </c>
      <c r="T217" s="291" t="s">
        <v>372</v>
      </c>
    </row>
    <row r="218" spans="2:20">
      <c r="B218" s="48" t="s">
        <v>38</v>
      </c>
      <c r="C218" s="454">
        <v>162</v>
      </c>
      <c r="D218" s="48" t="s">
        <v>1347</v>
      </c>
      <c r="E218" s="48" t="s">
        <v>1132</v>
      </c>
      <c r="F218" s="48">
        <v>1</v>
      </c>
      <c r="G218" s="320">
        <v>1000</v>
      </c>
      <c r="H218" s="317">
        <f t="shared" si="18"/>
        <v>1000</v>
      </c>
      <c r="M218" s="48" t="s">
        <v>23</v>
      </c>
      <c r="N218" s="291">
        <v>9</v>
      </c>
      <c r="O218" s="289" t="s">
        <v>518</v>
      </c>
      <c r="P218" s="291" t="s">
        <v>406</v>
      </c>
      <c r="Q218" s="291">
        <v>1</v>
      </c>
      <c r="R218" s="320">
        <v>1000</v>
      </c>
      <c r="S218" s="317">
        <f t="shared" si="19"/>
        <v>1000</v>
      </c>
      <c r="T218" s="291" t="s">
        <v>372</v>
      </c>
    </row>
    <row r="219" spans="2:20" ht="25.5">
      <c r="B219" s="48" t="s">
        <v>38</v>
      </c>
      <c r="C219" s="454">
        <v>163</v>
      </c>
      <c r="D219" s="48" t="s">
        <v>1349</v>
      </c>
      <c r="E219" s="48" t="s">
        <v>1132</v>
      </c>
      <c r="F219" s="48">
        <v>1</v>
      </c>
      <c r="G219" s="320">
        <v>1000</v>
      </c>
      <c r="H219" s="317">
        <f t="shared" si="18"/>
        <v>1000</v>
      </c>
      <c r="M219" s="48" t="s">
        <v>26</v>
      </c>
      <c r="N219" s="291">
        <v>10</v>
      </c>
      <c r="O219" s="289" t="s">
        <v>519</v>
      </c>
      <c r="P219" s="291" t="s">
        <v>401</v>
      </c>
      <c r="Q219" s="291">
        <v>1</v>
      </c>
      <c r="R219" s="320">
        <v>1000</v>
      </c>
      <c r="S219" s="317">
        <f t="shared" si="19"/>
        <v>1000</v>
      </c>
      <c r="T219" s="291" t="s">
        <v>372</v>
      </c>
    </row>
    <row r="220" spans="2:20">
      <c r="B220" s="48" t="s">
        <v>38</v>
      </c>
      <c r="C220" s="454">
        <v>164</v>
      </c>
      <c r="D220" s="48" t="s">
        <v>1351</v>
      </c>
      <c r="E220" s="48" t="s">
        <v>1132</v>
      </c>
      <c r="F220" s="48">
        <v>1</v>
      </c>
      <c r="G220" s="320">
        <v>1000</v>
      </c>
      <c r="H220" s="317">
        <f t="shared" si="18"/>
        <v>1000</v>
      </c>
      <c r="M220" s="48" t="s">
        <v>26</v>
      </c>
      <c r="N220" s="291">
        <v>11</v>
      </c>
      <c r="O220" s="289" t="s">
        <v>520</v>
      </c>
      <c r="P220" s="291" t="s">
        <v>406</v>
      </c>
      <c r="Q220" s="291">
        <v>4</v>
      </c>
      <c r="R220" s="320">
        <v>1000</v>
      </c>
      <c r="S220" s="317">
        <f t="shared" si="19"/>
        <v>4000</v>
      </c>
      <c r="T220" s="291" t="s">
        <v>372</v>
      </c>
    </row>
    <row r="221" spans="2:20">
      <c r="B221" s="48" t="s">
        <v>38</v>
      </c>
      <c r="C221" s="454">
        <v>165</v>
      </c>
      <c r="D221" s="48" t="s">
        <v>579</v>
      </c>
      <c r="E221" s="48" t="s">
        <v>1132</v>
      </c>
      <c r="F221" s="48">
        <v>1</v>
      </c>
      <c r="G221" s="320">
        <v>1000</v>
      </c>
      <c r="H221" s="317">
        <f t="shared" si="18"/>
        <v>1000</v>
      </c>
      <c r="M221" s="48" t="s">
        <v>26</v>
      </c>
      <c r="N221" s="291">
        <v>12</v>
      </c>
      <c r="O221" s="289" t="s">
        <v>521</v>
      </c>
      <c r="P221" s="291" t="s">
        <v>376</v>
      </c>
      <c r="Q221" s="291">
        <v>2</v>
      </c>
      <c r="R221" s="320">
        <v>1000</v>
      </c>
      <c r="S221" s="317">
        <f t="shared" si="19"/>
        <v>2000</v>
      </c>
      <c r="T221" s="291" t="s">
        <v>372</v>
      </c>
    </row>
    <row r="222" spans="2:20" ht="25.5">
      <c r="B222" s="48" t="s">
        <v>38</v>
      </c>
      <c r="C222" s="454">
        <v>166</v>
      </c>
      <c r="D222" s="48" t="s">
        <v>1354</v>
      </c>
      <c r="E222" s="48" t="s">
        <v>1132</v>
      </c>
      <c r="F222" s="48">
        <v>4</v>
      </c>
      <c r="G222" s="320">
        <v>1000</v>
      </c>
      <c r="H222" s="317">
        <f t="shared" si="18"/>
        <v>4000</v>
      </c>
      <c r="M222" s="48" t="s">
        <v>23</v>
      </c>
      <c r="N222" s="291">
        <v>13</v>
      </c>
      <c r="O222" s="289" t="s">
        <v>522</v>
      </c>
      <c r="P222" s="291" t="s">
        <v>401</v>
      </c>
      <c r="Q222" s="291"/>
      <c r="R222" s="320">
        <v>1000</v>
      </c>
      <c r="S222" s="317">
        <f t="shared" si="19"/>
        <v>0</v>
      </c>
      <c r="T222" s="291" t="s">
        <v>372</v>
      </c>
    </row>
    <row r="223" spans="2:20" ht="38.25">
      <c r="B223" s="48" t="s">
        <v>38</v>
      </c>
      <c r="C223" s="454">
        <v>167</v>
      </c>
      <c r="D223" s="48" t="s">
        <v>1356</v>
      </c>
      <c r="E223" s="48" t="s">
        <v>1132</v>
      </c>
      <c r="F223" s="48">
        <v>2</v>
      </c>
      <c r="G223" s="320">
        <v>1000</v>
      </c>
      <c r="H223" s="317">
        <f t="shared" si="18"/>
        <v>2000</v>
      </c>
      <c r="M223" s="48" t="s">
        <v>23</v>
      </c>
      <c r="N223" s="291">
        <v>14</v>
      </c>
      <c r="O223" s="289" t="s">
        <v>523</v>
      </c>
      <c r="P223" s="910" t="s">
        <v>524</v>
      </c>
      <c r="Q223" s="910"/>
      <c r="R223" s="320">
        <v>1000</v>
      </c>
      <c r="S223" s="317">
        <f t="shared" si="19"/>
        <v>0</v>
      </c>
      <c r="T223" s="291" t="s">
        <v>372</v>
      </c>
    </row>
    <row r="224" spans="2:20">
      <c r="B224" s="48" t="s">
        <v>38</v>
      </c>
      <c r="C224" s="454">
        <v>168</v>
      </c>
      <c r="D224" s="48" t="s">
        <v>1358</v>
      </c>
      <c r="E224" s="48" t="s">
        <v>1132</v>
      </c>
      <c r="F224" s="48">
        <v>2</v>
      </c>
      <c r="G224" s="320">
        <v>1000</v>
      </c>
      <c r="H224" s="317">
        <f t="shared" si="18"/>
        <v>2000</v>
      </c>
      <c r="M224" s="48" t="s">
        <v>23</v>
      </c>
      <c r="N224" s="291">
        <v>15</v>
      </c>
      <c r="O224" s="289" t="s">
        <v>525</v>
      </c>
      <c r="P224" s="291"/>
      <c r="Q224" s="291">
        <v>4</v>
      </c>
      <c r="R224" s="320">
        <v>1000</v>
      </c>
      <c r="S224" s="317">
        <f t="shared" si="19"/>
        <v>4000</v>
      </c>
      <c r="T224" s="291" t="s">
        <v>372</v>
      </c>
    </row>
    <row r="225" spans="2:20">
      <c r="B225" s="48" t="s">
        <v>38</v>
      </c>
      <c r="C225" s="454">
        <v>169</v>
      </c>
      <c r="D225" s="48" t="s">
        <v>1360</v>
      </c>
      <c r="E225" s="48" t="s">
        <v>1132</v>
      </c>
      <c r="F225" s="48">
        <v>2</v>
      </c>
      <c r="G225" s="320">
        <v>1000</v>
      </c>
      <c r="H225" s="317">
        <f t="shared" si="18"/>
        <v>2000</v>
      </c>
      <c r="M225" s="48" t="s">
        <v>23</v>
      </c>
      <c r="N225" s="291">
        <v>16</v>
      </c>
      <c r="O225" s="289" t="s">
        <v>526</v>
      </c>
      <c r="P225" s="291" t="s">
        <v>376</v>
      </c>
      <c r="Q225" s="291">
        <v>4</v>
      </c>
      <c r="R225" s="320">
        <v>1000</v>
      </c>
      <c r="S225" s="317">
        <f t="shared" si="19"/>
        <v>4000</v>
      </c>
      <c r="T225" s="291" t="s">
        <v>372</v>
      </c>
    </row>
    <row r="226" spans="2:20">
      <c r="B226" s="48" t="s">
        <v>38</v>
      </c>
      <c r="C226" s="454">
        <v>170</v>
      </c>
      <c r="D226" s="48" t="s">
        <v>1362</v>
      </c>
      <c r="E226" s="48" t="s">
        <v>1132</v>
      </c>
      <c r="F226" s="48">
        <v>5</v>
      </c>
      <c r="G226" s="320">
        <v>1000</v>
      </c>
      <c r="H226" s="317">
        <f t="shared" si="18"/>
        <v>5000</v>
      </c>
      <c r="M226" s="48" t="s">
        <v>23</v>
      </c>
      <c r="N226" s="291">
        <v>17</v>
      </c>
      <c r="O226" s="289" t="s">
        <v>480</v>
      </c>
      <c r="P226" s="291" t="s">
        <v>376</v>
      </c>
      <c r="Q226" s="291">
        <v>6</v>
      </c>
      <c r="R226" s="320">
        <v>1000</v>
      </c>
      <c r="S226" s="317">
        <f t="shared" si="19"/>
        <v>6000</v>
      </c>
      <c r="T226" s="291" t="s">
        <v>372</v>
      </c>
    </row>
    <row r="227" spans="2:20">
      <c r="B227" s="48" t="s">
        <v>38</v>
      </c>
      <c r="C227" s="454">
        <v>171</v>
      </c>
      <c r="D227" s="48" t="s">
        <v>1364</v>
      </c>
      <c r="E227" s="48" t="s">
        <v>1132</v>
      </c>
      <c r="F227" s="48">
        <v>1</v>
      </c>
      <c r="G227" s="320">
        <v>1000</v>
      </c>
      <c r="H227" s="317">
        <f t="shared" si="18"/>
        <v>1000</v>
      </c>
      <c r="M227" s="48" t="s">
        <v>23</v>
      </c>
      <c r="N227" s="291">
        <v>18</v>
      </c>
      <c r="O227" s="289" t="s">
        <v>527</v>
      </c>
      <c r="P227" s="291" t="s">
        <v>528</v>
      </c>
      <c r="Q227" s="291">
        <v>2</v>
      </c>
      <c r="R227" s="320">
        <v>1000</v>
      </c>
      <c r="S227" s="317">
        <f t="shared" si="19"/>
        <v>2000</v>
      </c>
      <c r="T227" s="291" t="s">
        <v>372</v>
      </c>
    </row>
    <row r="228" spans="2:20">
      <c r="B228" s="48" t="s">
        <v>38</v>
      </c>
      <c r="C228" s="454">
        <v>172</v>
      </c>
      <c r="D228" s="48" t="s">
        <v>1366</v>
      </c>
      <c r="E228" s="48" t="s">
        <v>1132</v>
      </c>
      <c r="F228" s="48">
        <v>10</v>
      </c>
      <c r="G228" s="320">
        <v>1000</v>
      </c>
      <c r="H228" s="317">
        <f t="shared" si="18"/>
        <v>10000</v>
      </c>
      <c r="M228" s="48" t="s">
        <v>23</v>
      </c>
      <c r="N228" s="291">
        <v>19</v>
      </c>
      <c r="O228" s="289" t="s">
        <v>529</v>
      </c>
      <c r="P228" s="291" t="s">
        <v>376</v>
      </c>
      <c r="Q228" s="291">
        <v>6</v>
      </c>
      <c r="R228" s="320">
        <v>1000</v>
      </c>
      <c r="S228" s="317">
        <f t="shared" si="19"/>
        <v>6000</v>
      </c>
      <c r="T228" s="291" t="s">
        <v>372</v>
      </c>
    </row>
    <row r="229" spans="2:20">
      <c r="B229" s="48" t="s">
        <v>38</v>
      </c>
      <c r="C229" s="454">
        <v>173</v>
      </c>
      <c r="D229" s="48" t="s">
        <v>1368</v>
      </c>
      <c r="E229" s="48" t="s">
        <v>1132</v>
      </c>
      <c r="F229" s="48">
        <v>2</v>
      </c>
      <c r="G229" s="320">
        <v>1000</v>
      </c>
      <c r="H229" s="317">
        <f t="shared" si="18"/>
        <v>2000</v>
      </c>
      <c r="M229" s="48" t="s">
        <v>23</v>
      </c>
      <c r="N229" s="291">
        <v>20</v>
      </c>
      <c r="O229" s="289" t="s">
        <v>530</v>
      </c>
      <c r="P229" s="291" t="s">
        <v>376</v>
      </c>
      <c r="Q229" s="291">
        <v>5</v>
      </c>
      <c r="R229" s="320">
        <v>1000</v>
      </c>
      <c r="S229" s="317">
        <f t="shared" si="19"/>
        <v>5000</v>
      </c>
      <c r="T229" s="291" t="s">
        <v>372</v>
      </c>
    </row>
    <row r="230" spans="2:20">
      <c r="B230" s="48" t="s">
        <v>38</v>
      </c>
      <c r="C230" s="454">
        <v>174</v>
      </c>
      <c r="D230" s="48" t="s">
        <v>1370</v>
      </c>
      <c r="E230" s="48" t="s">
        <v>1132</v>
      </c>
      <c r="F230" s="48">
        <v>2</v>
      </c>
      <c r="G230" s="320">
        <v>1000</v>
      </c>
      <c r="H230" s="317">
        <f t="shared" si="18"/>
        <v>2000</v>
      </c>
      <c r="M230" s="48" t="s">
        <v>23</v>
      </c>
      <c r="N230" s="291">
        <v>21</v>
      </c>
      <c r="O230" s="289" t="s">
        <v>531</v>
      </c>
      <c r="P230" s="291" t="s">
        <v>376</v>
      </c>
      <c r="Q230" s="291">
        <v>5</v>
      </c>
      <c r="R230" s="320">
        <v>1000</v>
      </c>
      <c r="S230" s="317">
        <f t="shared" si="19"/>
        <v>5000</v>
      </c>
      <c r="T230" s="291" t="s">
        <v>372</v>
      </c>
    </row>
    <row r="231" spans="2:20">
      <c r="B231" s="48" t="s">
        <v>38</v>
      </c>
      <c r="C231" s="454">
        <v>175</v>
      </c>
      <c r="D231" s="48" t="s">
        <v>480</v>
      </c>
      <c r="E231" s="48" t="s">
        <v>1132</v>
      </c>
      <c r="F231" s="48">
        <v>1</v>
      </c>
      <c r="G231" s="320">
        <v>1000</v>
      </c>
      <c r="H231" s="317">
        <f t="shared" si="18"/>
        <v>1000</v>
      </c>
      <c r="M231" s="48" t="s">
        <v>23</v>
      </c>
      <c r="N231" s="291">
        <v>22</v>
      </c>
      <c r="O231" s="289" t="s">
        <v>532</v>
      </c>
      <c r="P231" s="291" t="s">
        <v>406</v>
      </c>
      <c r="Q231" s="291">
        <v>5</v>
      </c>
      <c r="R231" s="320">
        <v>1000</v>
      </c>
      <c r="S231" s="317">
        <f t="shared" si="19"/>
        <v>5000</v>
      </c>
      <c r="T231" s="291" t="s">
        <v>372</v>
      </c>
    </row>
    <row r="232" spans="2:20">
      <c r="B232" s="48" t="s">
        <v>38</v>
      </c>
      <c r="C232" s="454">
        <v>176</v>
      </c>
      <c r="D232" s="48" t="s">
        <v>1373</v>
      </c>
      <c r="E232" s="48" t="s">
        <v>1132</v>
      </c>
      <c r="F232" s="48">
        <v>6</v>
      </c>
      <c r="G232" s="320">
        <v>1000</v>
      </c>
      <c r="H232" s="317">
        <f t="shared" si="18"/>
        <v>6000</v>
      </c>
      <c r="M232" s="48" t="s">
        <v>23</v>
      </c>
      <c r="N232" s="291">
        <v>23</v>
      </c>
      <c r="O232" s="289" t="s">
        <v>533</v>
      </c>
      <c r="P232" s="291" t="s">
        <v>376</v>
      </c>
      <c r="Q232" s="291">
        <v>40</v>
      </c>
      <c r="R232" s="320">
        <v>1000</v>
      </c>
      <c r="S232" s="317">
        <f t="shared" si="19"/>
        <v>40000</v>
      </c>
      <c r="T232" s="291" t="s">
        <v>372</v>
      </c>
    </row>
    <row r="233" spans="2:20">
      <c r="B233" s="48" t="s">
        <v>38</v>
      </c>
      <c r="C233" s="454">
        <v>177</v>
      </c>
      <c r="D233" s="48" t="s">
        <v>1281</v>
      </c>
      <c r="E233" s="48" t="s">
        <v>1132</v>
      </c>
      <c r="F233" s="48">
        <v>2</v>
      </c>
      <c r="G233" s="320">
        <v>1000</v>
      </c>
      <c r="H233" s="317">
        <f t="shared" si="18"/>
        <v>2000</v>
      </c>
      <c r="M233" s="48" t="s">
        <v>23</v>
      </c>
      <c r="N233" s="291">
        <v>24</v>
      </c>
      <c r="O233" s="289" t="s">
        <v>534</v>
      </c>
      <c r="P233" s="291" t="s">
        <v>376</v>
      </c>
      <c r="Q233" s="291">
        <v>4</v>
      </c>
      <c r="R233" s="320">
        <v>1000</v>
      </c>
      <c r="S233" s="317">
        <f t="shared" si="19"/>
        <v>4000</v>
      </c>
      <c r="T233" s="291" t="s">
        <v>372</v>
      </c>
    </row>
    <row r="234" spans="2:20">
      <c r="B234" s="48" t="s">
        <v>38</v>
      </c>
      <c r="C234" s="454">
        <v>178</v>
      </c>
      <c r="D234" s="48" t="s">
        <v>1376</v>
      </c>
      <c r="E234" s="48" t="s">
        <v>1132</v>
      </c>
      <c r="F234" s="48">
        <v>10</v>
      </c>
      <c r="G234" s="320">
        <v>1000</v>
      </c>
      <c r="H234" s="317">
        <f t="shared" si="18"/>
        <v>10000</v>
      </c>
      <c r="M234" s="48" t="s">
        <v>23</v>
      </c>
      <c r="N234" s="291">
        <v>25</v>
      </c>
      <c r="O234" s="289" t="s">
        <v>535</v>
      </c>
      <c r="P234" s="291" t="s">
        <v>376</v>
      </c>
      <c r="Q234" s="291">
        <v>2</v>
      </c>
      <c r="R234" s="320">
        <v>1000</v>
      </c>
      <c r="S234" s="317">
        <f t="shared" si="19"/>
        <v>2000</v>
      </c>
      <c r="T234" s="291" t="s">
        <v>372</v>
      </c>
    </row>
    <row r="235" spans="2:20">
      <c r="B235" s="48" t="s">
        <v>38</v>
      </c>
      <c r="C235" s="454">
        <v>179</v>
      </c>
      <c r="D235" s="48" t="s">
        <v>1378</v>
      </c>
      <c r="E235" s="48" t="s">
        <v>1132</v>
      </c>
      <c r="F235" s="48">
        <v>5</v>
      </c>
      <c r="G235" s="320">
        <v>1000</v>
      </c>
      <c r="H235" s="317">
        <f t="shared" si="18"/>
        <v>5000</v>
      </c>
      <c r="M235" s="48" t="s">
        <v>23</v>
      </c>
      <c r="N235" s="291">
        <v>26</v>
      </c>
      <c r="O235" s="289" t="s">
        <v>536</v>
      </c>
      <c r="P235" s="291" t="s">
        <v>376</v>
      </c>
      <c r="Q235" s="291">
        <v>2</v>
      </c>
      <c r="R235" s="320">
        <v>1000</v>
      </c>
      <c r="S235" s="317">
        <f t="shared" si="19"/>
        <v>2000</v>
      </c>
      <c r="T235" s="291" t="s">
        <v>654</v>
      </c>
    </row>
    <row r="236" spans="2:20">
      <c r="B236" s="48" t="s">
        <v>38</v>
      </c>
      <c r="C236" s="454">
        <v>180</v>
      </c>
      <c r="D236" s="48" t="s">
        <v>1380</v>
      </c>
      <c r="E236" s="48" t="s">
        <v>1132</v>
      </c>
      <c r="F236" s="48">
        <v>2</v>
      </c>
      <c r="G236" s="320">
        <v>1000</v>
      </c>
      <c r="H236" s="317">
        <f t="shared" si="18"/>
        <v>2000</v>
      </c>
      <c r="M236" s="48" t="s">
        <v>23</v>
      </c>
      <c r="N236" s="291">
        <v>27</v>
      </c>
      <c r="O236" s="289" t="s">
        <v>537</v>
      </c>
      <c r="P236" s="291" t="s">
        <v>376</v>
      </c>
      <c r="Q236" s="291">
        <v>3</v>
      </c>
      <c r="R236" s="320">
        <v>1000</v>
      </c>
      <c r="S236" s="317">
        <f t="shared" si="19"/>
        <v>3000</v>
      </c>
      <c r="T236" s="291" t="s">
        <v>654</v>
      </c>
    </row>
    <row r="237" spans="2:20">
      <c r="B237" s="48" t="s">
        <v>38</v>
      </c>
      <c r="C237" s="454">
        <v>181</v>
      </c>
      <c r="D237" s="48" t="s">
        <v>1382</v>
      </c>
      <c r="E237" s="48" t="s">
        <v>1132</v>
      </c>
      <c r="F237" s="48">
        <v>2</v>
      </c>
      <c r="G237" s="320">
        <v>1000</v>
      </c>
      <c r="H237" s="317">
        <f t="shared" si="18"/>
        <v>2000</v>
      </c>
      <c r="M237" s="48" t="s">
        <v>23</v>
      </c>
      <c r="N237" s="291">
        <v>28</v>
      </c>
      <c r="O237" s="289" t="s">
        <v>538</v>
      </c>
      <c r="P237" s="291" t="s">
        <v>376</v>
      </c>
      <c r="Q237" s="291">
        <v>2</v>
      </c>
      <c r="R237" s="320">
        <v>1000</v>
      </c>
      <c r="S237" s="317">
        <f t="shared" si="19"/>
        <v>2000</v>
      </c>
      <c r="T237" s="291" t="s">
        <v>372</v>
      </c>
    </row>
    <row r="238" spans="2:20">
      <c r="B238" s="48" t="s">
        <v>38</v>
      </c>
      <c r="C238" s="454">
        <v>182</v>
      </c>
      <c r="D238" s="48" t="s">
        <v>1384</v>
      </c>
      <c r="E238" s="48" t="s">
        <v>1132</v>
      </c>
      <c r="F238" s="48">
        <v>6</v>
      </c>
      <c r="G238" s="320">
        <v>1000</v>
      </c>
      <c r="H238" s="317">
        <f t="shared" si="18"/>
        <v>6000</v>
      </c>
      <c r="M238" s="48" t="s">
        <v>23</v>
      </c>
      <c r="N238" s="291">
        <v>29</v>
      </c>
      <c r="O238" s="289" t="s">
        <v>539</v>
      </c>
      <c r="P238" s="291" t="s">
        <v>376</v>
      </c>
      <c r="Q238" s="291">
        <v>4</v>
      </c>
      <c r="R238" s="320">
        <v>1000</v>
      </c>
      <c r="S238" s="317">
        <f t="shared" si="19"/>
        <v>4000</v>
      </c>
      <c r="T238" s="291" t="s">
        <v>654</v>
      </c>
    </row>
    <row r="239" spans="2:20">
      <c r="B239" s="48" t="s">
        <v>38</v>
      </c>
      <c r="C239" s="454">
        <v>183</v>
      </c>
      <c r="D239" s="48" t="s">
        <v>1283</v>
      </c>
      <c r="E239" s="48" t="s">
        <v>1132</v>
      </c>
      <c r="F239" s="48">
        <v>1000</v>
      </c>
      <c r="G239" s="320">
        <v>1000</v>
      </c>
      <c r="H239" s="317">
        <f t="shared" si="18"/>
        <v>1000000</v>
      </c>
      <c r="M239" s="48" t="s">
        <v>23</v>
      </c>
      <c r="N239" s="291">
        <v>30</v>
      </c>
      <c r="O239" s="289" t="s">
        <v>540</v>
      </c>
      <c r="P239" s="291" t="s">
        <v>376</v>
      </c>
      <c r="Q239" s="291">
        <v>50</v>
      </c>
      <c r="R239" s="320">
        <v>1000</v>
      </c>
      <c r="S239" s="317">
        <f t="shared" si="19"/>
        <v>50000</v>
      </c>
      <c r="T239" s="291" t="s">
        <v>372</v>
      </c>
    </row>
    <row r="240" spans="2:20">
      <c r="B240" s="48" t="s">
        <v>38</v>
      </c>
      <c r="C240" s="454">
        <v>184</v>
      </c>
      <c r="D240" s="48" t="s">
        <v>1387</v>
      </c>
      <c r="E240" s="48" t="s">
        <v>1132</v>
      </c>
      <c r="F240" s="48">
        <v>1000</v>
      </c>
      <c r="G240" s="320">
        <v>1000</v>
      </c>
      <c r="H240" s="317">
        <f t="shared" si="18"/>
        <v>1000000</v>
      </c>
      <c r="M240" s="48" t="s">
        <v>23</v>
      </c>
      <c r="N240" s="291">
        <v>31</v>
      </c>
      <c r="O240" s="289" t="s">
        <v>541</v>
      </c>
      <c r="P240" s="291" t="s">
        <v>376</v>
      </c>
      <c r="Q240" s="291">
        <v>1</v>
      </c>
      <c r="R240" s="320">
        <v>1000</v>
      </c>
      <c r="S240" s="317">
        <f t="shared" si="19"/>
        <v>1000</v>
      </c>
      <c r="T240" s="291" t="s">
        <v>654</v>
      </c>
    </row>
    <row r="241" spans="2:20">
      <c r="B241" s="48" t="s">
        <v>38</v>
      </c>
      <c r="C241" s="454">
        <v>185</v>
      </c>
      <c r="D241" s="48" t="s">
        <v>1389</v>
      </c>
      <c r="E241" s="48" t="s">
        <v>1132</v>
      </c>
      <c r="F241" s="48">
        <v>10</v>
      </c>
      <c r="G241" s="320">
        <v>1000</v>
      </c>
      <c r="H241" s="317">
        <f t="shared" si="18"/>
        <v>10000</v>
      </c>
      <c r="M241" s="48" t="s">
        <v>23</v>
      </c>
      <c r="N241" s="291">
        <v>32</v>
      </c>
      <c r="O241" s="289" t="s">
        <v>464</v>
      </c>
      <c r="P241" s="291" t="s">
        <v>376</v>
      </c>
      <c r="Q241" s="291">
        <v>2</v>
      </c>
      <c r="R241" s="320">
        <v>1000</v>
      </c>
      <c r="S241" s="317">
        <f t="shared" si="19"/>
        <v>2000</v>
      </c>
      <c r="T241" s="291" t="s">
        <v>654</v>
      </c>
    </row>
    <row r="242" spans="2:20">
      <c r="B242" s="48" t="s">
        <v>38</v>
      </c>
      <c r="C242" s="454">
        <v>186</v>
      </c>
      <c r="D242" s="48" t="s">
        <v>1391</v>
      </c>
      <c r="E242" s="48" t="s">
        <v>1132</v>
      </c>
      <c r="F242" s="48">
        <v>17</v>
      </c>
      <c r="G242" s="320">
        <v>1000</v>
      </c>
      <c r="H242" s="317">
        <f t="shared" si="18"/>
        <v>17000</v>
      </c>
      <c r="M242" s="48" t="s">
        <v>23</v>
      </c>
      <c r="N242" s="291">
        <v>33</v>
      </c>
      <c r="O242" s="289" t="s">
        <v>542</v>
      </c>
      <c r="P242" s="291" t="s">
        <v>376</v>
      </c>
      <c r="Q242" s="291">
        <v>1</v>
      </c>
      <c r="R242" s="320">
        <v>1000</v>
      </c>
      <c r="S242" s="317">
        <f t="shared" si="19"/>
        <v>1000</v>
      </c>
      <c r="T242" s="291" t="s">
        <v>654</v>
      </c>
    </row>
    <row r="243" spans="2:20">
      <c r="B243" s="48" t="s">
        <v>38</v>
      </c>
      <c r="C243" s="454">
        <v>187</v>
      </c>
      <c r="D243" s="48" t="s">
        <v>1393</v>
      </c>
      <c r="E243" s="48" t="s">
        <v>1132</v>
      </c>
      <c r="F243" s="48">
        <v>300</v>
      </c>
      <c r="G243" s="320">
        <v>1000</v>
      </c>
      <c r="H243" s="317">
        <f t="shared" si="18"/>
        <v>300000</v>
      </c>
      <c r="M243" s="48" t="s">
        <v>23</v>
      </c>
      <c r="N243" s="291">
        <v>34</v>
      </c>
      <c r="O243" s="289" t="s">
        <v>418</v>
      </c>
      <c r="P243" s="291" t="s">
        <v>406</v>
      </c>
      <c r="Q243" s="291">
        <v>2</v>
      </c>
      <c r="R243" s="320">
        <v>1000</v>
      </c>
      <c r="S243" s="317">
        <f t="shared" si="19"/>
        <v>2000</v>
      </c>
      <c r="T243" s="291" t="s">
        <v>655</v>
      </c>
    </row>
    <row r="244" spans="2:20">
      <c r="B244" s="48" t="s">
        <v>38</v>
      </c>
      <c r="C244" s="454">
        <v>188</v>
      </c>
      <c r="D244" s="48" t="s">
        <v>1395</v>
      </c>
      <c r="E244" s="48" t="s">
        <v>1132</v>
      </c>
      <c r="F244" s="48">
        <v>5</v>
      </c>
      <c r="G244" s="320">
        <v>1000</v>
      </c>
      <c r="H244" s="317">
        <f t="shared" si="18"/>
        <v>5000</v>
      </c>
      <c r="M244" s="48" t="s">
        <v>64</v>
      </c>
      <c r="N244" s="291">
        <v>1</v>
      </c>
      <c r="O244" s="289" t="s">
        <v>543</v>
      </c>
      <c r="P244" s="291" t="s">
        <v>376</v>
      </c>
      <c r="Q244" s="291">
        <v>1</v>
      </c>
      <c r="R244" s="320">
        <v>1000</v>
      </c>
      <c r="S244" s="317">
        <f t="shared" si="19"/>
        <v>1000</v>
      </c>
      <c r="T244" s="291" t="s">
        <v>372</v>
      </c>
    </row>
    <row r="245" spans="2:20">
      <c r="B245" s="48" t="s">
        <v>38</v>
      </c>
      <c r="C245" s="454">
        <v>189</v>
      </c>
      <c r="D245" s="48" t="s">
        <v>1397</v>
      </c>
      <c r="E245" s="48" t="s">
        <v>1132</v>
      </c>
      <c r="F245" s="48">
        <v>5</v>
      </c>
      <c r="G245" s="320">
        <v>1000</v>
      </c>
      <c r="H245" s="317">
        <f t="shared" si="18"/>
        <v>5000</v>
      </c>
      <c r="M245" s="48" t="s">
        <v>64</v>
      </c>
      <c r="N245" s="291">
        <v>2</v>
      </c>
      <c r="O245" s="289" t="s">
        <v>544</v>
      </c>
      <c r="P245" s="291" t="s">
        <v>376</v>
      </c>
      <c r="Q245" s="291">
        <v>2</v>
      </c>
      <c r="R245" s="320">
        <v>1000</v>
      </c>
      <c r="S245" s="317">
        <f t="shared" si="19"/>
        <v>2000</v>
      </c>
      <c r="T245" s="291" t="s">
        <v>372</v>
      </c>
    </row>
    <row r="246" spans="2:20">
      <c r="B246" s="48" t="s">
        <v>38</v>
      </c>
      <c r="C246" s="454">
        <v>190</v>
      </c>
      <c r="D246" s="48" t="s">
        <v>1399</v>
      </c>
      <c r="E246" s="48" t="s">
        <v>1132</v>
      </c>
      <c r="F246" s="48">
        <v>50</v>
      </c>
      <c r="G246" s="320">
        <v>1000</v>
      </c>
      <c r="H246" s="317">
        <f t="shared" si="18"/>
        <v>50000</v>
      </c>
      <c r="M246" s="48" t="s">
        <v>64</v>
      </c>
      <c r="N246" s="291">
        <v>3</v>
      </c>
      <c r="O246" s="289" t="s">
        <v>545</v>
      </c>
      <c r="P246" s="291" t="s">
        <v>376</v>
      </c>
      <c r="Q246" s="291">
        <v>2</v>
      </c>
      <c r="R246" s="320">
        <v>1000</v>
      </c>
      <c r="S246" s="317">
        <f t="shared" si="19"/>
        <v>2000</v>
      </c>
      <c r="T246" s="291" t="s">
        <v>372</v>
      </c>
    </row>
    <row r="247" spans="2:20">
      <c r="B247" s="48" t="s">
        <v>38</v>
      </c>
      <c r="C247" s="454">
        <v>191</v>
      </c>
      <c r="D247" s="48" t="s">
        <v>1401</v>
      </c>
      <c r="E247" s="48" t="s">
        <v>1132</v>
      </c>
      <c r="G247" s="320">
        <v>1000</v>
      </c>
      <c r="H247" s="317">
        <f t="shared" si="18"/>
        <v>0</v>
      </c>
      <c r="M247" s="48" t="s">
        <v>64</v>
      </c>
      <c r="N247" s="291">
        <v>4</v>
      </c>
      <c r="O247" s="289" t="s">
        <v>546</v>
      </c>
      <c r="P247" s="291" t="s">
        <v>376</v>
      </c>
      <c r="Q247" s="291">
        <v>1</v>
      </c>
      <c r="R247" s="320">
        <v>1000</v>
      </c>
      <c r="S247" s="317">
        <f t="shared" si="19"/>
        <v>1000</v>
      </c>
      <c r="T247" s="291" t="s">
        <v>372</v>
      </c>
    </row>
    <row r="248" spans="2:20">
      <c r="B248" s="48" t="s">
        <v>38</v>
      </c>
      <c r="C248" s="454">
        <v>192</v>
      </c>
      <c r="D248" s="48" t="s">
        <v>1403</v>
      </c>
      <c r="E248" s="48" t="s">
        <v>1132</v>
      </c>
      <c r="G248" s="320">
        <v>1000</v>
      </c>
      <c r="H248" s="317">
        <f t="shared" si="18"/>
        <v>0</v>
      </c>
      <c r="M248" s="48" t="s">
        <v>64</v>
      </c>
      <c r="N248" s="291">
        <v>5</v>
      </c>
      <c r="O248" s="289" t="s">
        <v>547</v>
      </c>
      <c r="P248" s="291" t="s">
        <v>376</v>
      </c>
      <c r="Q248" s="291">
        <v>1</v>
      </c>
      <c r="R248" s="320">
        <v>1000</v>
      </c>
      <c r="S248" s="317">
        <f t="shared" si="19"/>
        <v>1000</v>
      </c>
      <c r="T248" s="291" t="s">
        <v>372</v>
      </c>
    </row>
    <row r="249" spans="2:20">
      <c r="B249" s="48" t="s">
        <v>38</v>
      </c>
      <c r="C249" s="454">
        <v>193</v>
      </c>
      <c r="D249" s="48" t="s">
        <v>1405</v>
      </c>
      <c r="E249" s="48" t="s">
        <v>1132</v>
      </c>
      <c r="G249" s="320">
        <v>1000</v>
      </c>
      <c r="H249" s="317">
        <f t="shared" si="18"/>
        <v>0</v>
      </c>
      <c r="M249" s="48" t="s">
        <v>64</v>
      </c>
      <c r="N249" s="291">
        <v>6</v>
      </c>
      <c r="O249" s="289" t="s">
        <v>548</v>
      </c>
      <c r="P249" s="291" t="s">
        <v>376</v>
      </c>
      <c r="Q249" s="291">
        <v>4</v>
      </c>
      <c r="R249" s="320">
        <v>1000</v>
      </c>
      <c r="S249" s="317">
        <f t="shared" si="19"/>
        <v>4000</v>
      </c>
      <c r="T249" s="291" t="s">
        <v>372</v>
      </c>
    </row>
    <row r="250" spans="2:20">
      <c r="B250" s="48" t="s">
        <v>38</v>
      </c>
      <c r="C250" s="454">
        <v>194</v>
      </c>
      <c r="D250" s="48" t="s">
        <v>1407</v>
      </c>
      <c r="E250" s="48" t="s">
        <v>1132</v>
      </c>
      <c r="G250" s="320">
        <v>1000</v>
      </c>
      <c r="H250" s="317">
        <f t="shared" ref="H250:H253" si="20">G250*F250</f>
        <v>0</v>
      </c>
      <c r="M250" s="48" t="s">
        <v>64</v>
      </c>
      <c r="N250" s="291">
        <v>7</v>
      </c>
      <c r="O250" s="289" t="s">
        <v>549</v>
      </c>
      <c r="P250" s="291" t="s">
        <v>376</v>
      </c>
      <c r="Q250" s="291">
        <v>1</v>
      </c>
      <c r="R250" s="320">
        <v>1000</v>
      </c>
      <c r="S250" s="317">
        <f t="shared" si="19"/>
        <v>1000</v>
      </c>
      <c r="T250" s="291" t="s">
        <v>372</v>
      </c>
    </row>
    <row r="251" spans="2:20">
      <c r="B251" s="48" t="s">
        <v>38</v>
      </c>
      <c r="C251" s="454">
        <v>195</v>
      </c>
      <c r="D251" s="48" t="s">
        <v>1409</v>
      </c>
      <c r="E251" s="48" t="s">
        <v>1132</v>
      </c>
      <c r="G251" s="320">
        <v>1000</v>
      </c>
      <c r="H251" s="317">
        <f t="shared" si="20"/>
        <v>0</v>
      </c>
      <c r="M251" s="48" t="s">
        <v>64</v>
      </c>
      <c r="N251" s="291">
        <v>8</v>
      </c>
      <c r="O251" s="289" t="s">
        <v>550</v>
      </c>
      <c r="P251" s="291" t="s">
        <v>376</v>
      </c>
      <c r="Q251" s="291">
        <v>1</v>
      </c>
      <c r="R251" s="320">
        <v>1000</v>
      </c>
      <c r="S251" s="317">
        <f t="shared" si="19"/>
        <v>1000</v>
      </c>
      <c r="T251" s="291" t="s">
        <v>372</v>
      </c>
    </row>
    <row r="252" spans="2:20">
      <c r="B252" s="48" t="s">
        <v>38</v>
      </c>
      <c r="C252" s="454">
        <v>196</v>
      </c>
      <c r="D252" s="48" t="s">
        <v>1412</v>
      </c>
      <c r="E252" s="48" t="s">
        <v>1132</v>
      </c>
      <c r="F252" s="48">
        <v>500</v>
      </c>
      <c r="G252" s="320">
        <v>1000</v>
      </c>
      <c r="H252" s="317">
        <f t="shared" si="20"/>
        <v>500000</v>
      </c>
      <c r="M252" s="48" t="s">
        <v>64</v>
      </c>
      <c r="N252" s="291">
        <v>9</v>
      </c>
      <c r="O252" s="289" t="s">
        <v>551</v>
      </c>
      <c r="P252" s="291" t="s">
        <v>376</v>
      </c>
      <c r="Q252" s="291">
        <v>1</v>
      </c>
      <c r="R252" s="320">
        <v>1000</v>
      </c>
      <c r="S252" s="317">
        <f t="shared" si="19"/>
        <v>1000</v>
      </c>
      <c r="T252" s="291" t="s">
        <v>372</v>
      </c>
    </row>
    <row r="253" spans="2:20">
      <c r="B253" s="48" t="s">
        <v>38</v>
      </c>
      <c r="C253" s="454">
        <v>197</v>
      </c>
      <c r="D253" s="48" t="s">
        <v>1414</v>
      </c>
      <c r="E253" s="48" t="s">
        <v>1038</v>
      </c>
      <c r="F253" s="48">
        <v>20</v>
      </c>
      <c r="G253" s="320">
        <v>1000</v>
      </c>
      <c r="H253" s="317">
        <f t="shared" si="20"/>
        <v>20000</v>
      </c>
      <c r="M253" s="48" t="s">
        <v>64</v>
      </c>
      <c r="N253" s="291">
        <v>10</v>
      </c>
      <c r="O253" s="289" t="s">
        <v>552</v>
      </c>
      <c r="P253" s="291" t="s">
        <v>376</v>
      </c>
      <c r="Q253" s="291">
        <v>2</v>
      </c>
      <c r="R253" s="320">
        <v>1000</v>
      </c>
      <c r="S253" s="317">
        <f t="shared" si="19"/>
        <v>2000</v>
      </c>
      <c r="T253" s="291" t="s">
        <v>372</v>
      </c>
    </row>
    <row r="254" spans="2:20" ht="25.5">
      <c r="G254" s="51"/>
      <c r="H254" s="353">
        <f>SUM(H69:H253)</f>
        <v>6134000</v>
      </c>
      <c r="M254" s="48" t="s">
        <v>64</v>
      </c>
      <c r="N254" s="291">
        <v>11</v>
      </c>
      <c r="O254" s="289" t="s">
        <v>553</v>
      </c>
      <c r="P254" s="291" t="s">
        <v>406</v>
      </c>
      <c r="Q254" s="291">
        <v>3</v>
      </c>
      <c r="R254" s="320">
        <v>1000</v>
      </c>
      <c r="S254" s="317">
        <f t="shared" si="19"/>
        <v>3000</v>
      </c>
      <c r="T254" s="291" t="s">
        <v>372</v>
      </c>
    </row>
    <row r="255" spans="2:20">
      <c r="M255" s="48" t="s">
        <v>64</v>
      </c>
      <c r="N255" s="291">
        <v>12</v>
      </c>
      <c r="O255" s="289" t="s">
        <v>554</v>
      </c>
      <c r="P255" s="291" t="s">
        <v>376</v>
      </c>
      <c r="Q255" s="291">
        <v>3</v>
      </c>
      <c r="R255" s="320">
        <v>1000</v>
      </c>
      <c r="S255" s="317">
        <f t="shared" si="19"/>
        <v>3000</v>
      </c>
      <c r="T255" s="291" t="s">
        <v>372</v>
      </c>
    </row>
    <row r="256" spans="2:20">
      <c r="M256" s="48" t="s">
        <v>64</v>
      </c>
      <c r="N256" s="291">
        <v>13</v>
      </c>
      <c r="O256" s="289" t="s">
        <v>555</v>
      </c>
      <c r="P256" s="291" t="s">
        <v>376</v>
      </c>
      <c r="Q256" s="291">
        <v>1</v>
      </c>
      <c r="R256" s="320">
        <v>1000</v>
      </c>
      <c r="S256" s="317">
        <f t="shared" si="19"/>
        <v>1000</v>
      </c>
      <c r="T256" s="291" t="s">
        <v>372</v>
      </c>
    </row>
    <row r="257" spans="13:20">
      <c r="M257" s="48" t="s">
        <v>64</v>
      </c>
      <c r="N257" s="291">
        <v>14</v>
      </c>
      <c r="O257" s="289" t="s">
        <v>556</v>
      </c>
      <c r="P257" s="291" t="s">
        <v>376</v>
      </c>
      <c r="Q257" s="291">
        <v>1</v>
      </c>
      <c r="R257" s="320">
        <v>1000</v>
      </c>
      <c r="S257" s="317">
        <f t="shared" si="19"/>
        <v>1000</v>
      </c>
      <c r="T257" s="291" t="s">
        <v>372</v>
      </c>
    </row>
    <row r="258" spans="13:20">
      <c r="M258" s="48" t="s">
        <v>64</v>
      </c>
      <c r="N258" s="291">
        <v>15</v>
      </c>
      <c r="O258" s="289" t="s">
        <v>557</v>
      </c>
      <c r="P258" s="291" t="s">
        <v>376</v>
      </c>
      <c r="Q258" s="291">
        <v>1</v>
      </c>
      <c r="R258" s="320">
        <v>1000</v>
      </c>
      <c r="S258" s="317">
        <f t="shared" si="19"/>
        <v>1000</v>
      </c>
      <c r="T258" s="291" t="s">
        <v>372</v>
      </c>
    </row>
    <row r="259" spans="13:20">
      <c r="M259" s="48" t="s">
        <v>64</v>
      </c>
      <c r="N259" s="291">
        <v>16</v>
      </c>
      <c r="O259" s="289" t="s">
        <v>558</v>
      </c>
      <c r="P259" s="291" t="s">
        <v>376</v>
      </c>
      <c r="Q259" s="291">
        <v>1</v>
      </c>
      <c r="R259" s="320">
        <v>1000</v>
      </c>
      <c r="S259" s="317">
        <f t="shared" si="19"/>
        <v>1000</v>
      </c>
      <c r="T259" s="291" t="s">
        <v>372</v>
      </c>
    </row>
    <row r="260" spans="13:20">
      <c r="M260" s="48" t="s">
        <v>64</v>
      </c>
      <c r="N260" s="291">
        <v>17</v>
      </c>
      <c r="O260" s="289" t="s">
        <v>559</v>
      </c>
      <c r="P260" s="291" t="s">
        <v>376</v>
      </c>
      <c r="Q260" s="291">
        <v>1</v>
      </c>
      <c r="R260" s="320">
        <v>1000</v>
      </c>
      <c r="S260" s="317">
        <f t="shared" si="19"/>
        <v>1000</v>
      </c>
      <c r="T260" s="291" t="s">
        <v>654</v>
      </c>
    </row>
    <row r="261" spans="13:20">
      <c r="M261" s="48" t="s">
        <v>64</v>
      </c>
      <c r="N261" s="291">
        <v>18</v>
      </c>
      <c r="O261" s="289" t="s">
        <v>560</v>
      </c>
      <c r="P261" s="291" t="s">
        <v>376</v>
      </c>
      <c r="Q261" s="291">
        <v>5</v>
      </c>
      <c r="R261" s="320">
        <v>1000</v>
      </c>
      <c r="S261" s="317">
        <f t="shared" si="19"/>
        <v>5000</v>
      </c>
      <c r="T261" s="291" t="s">
        <v>372</v>
      </c>
    </row>
    <row r="262" spans="13:20">
      <c r="M262" s="48" t="s">
        <v>64</v>
      </c>
      <c r="N262" s="291">
        <v>19</v>
      </c>
      <c r="O262" s="289" t="s">
        <v>540</v>
      </c>
      <c r="P262" s="291" t="s">
        <v>376</v>
      </c>
      <c r="Q262" s="291">
        <v>200</v>
      </c>
      <c r="R262" s="320">
        <v>1000</v>
      </c>
      <c r="S262" s="317">
        <f t="shared" si="19"/>
        <v>200000</v>
      </c>
      <c r="T262" s="291" t="s">
        <v>372</v>
      </c>
    </row>
    <row r="263" spans="13:20">
      <c r="M263" s="48" t="s">
        <v>64</v>
      </c>
      <c r="N263" s="291">
        <v>20</v>
      </c>
      <c r="O263" s="289" t="s">
        <v>561</v>
      </c>
      <c r="P263" s="291" t="s">
        <v>376</v>
      </c>
      <c r="Q263" s="291">
        <v>1</v>
      </c>
      <c r="R263" s="320">
        <v>1000</v>
      </c>
      <c r="S263" s="317">
        <f t="shared" si="19"/>
        <v>1000</v>
      </c>
      <c r="T263" s="291" t="s">
        <v>372</v>
      </c>
    </row>
    <row r="264" spans="13:20">
      <c r="M264" s="48" t="s">
        <v>64</v>
      </c>
      <c r="N264" s="291">
        <v>21</v>
      </c>
      <c r="O264" s="289" t="s">
        <v>562</v>
      </c>
      <c r="P264" s="291" t="s">
        <v>528</v>
      </c>
      <c r="Q264" s="291">
        <v>50</v>
      </c>
      <c r="R264" s="320">
        <v>1000</v>
      </c>
      <c r="S264" s="317">
        <f t="shared" si="19"/>
        <v>50000</v>
      </c>
      <c r="T264" s="291" t="s">
        <v>372</v>
      </c>
    </row>
    <row r="265" spans="13:20">
      <c r="M265" s="48" t="s">
        <v>64</v>
      </c>
      <c r="N265" s="291">
        <v>22</v>
      </c>
      <c r="O265" s="289" t="s">
        <v>563</v>
      </c>
      <c r="P265" s="291" t="s">
        <v>376</v>
      </c>
      <c r="Q265" s="291">
        <v>2</v>
      </c>
      <c r="R265" s="320">
        <v>1000</v>
      </c>
      <c r="S265" s="317">
        <f t="shared" ref="S265:S328" si="21">R265*Q265</f>
        <v>2000</v>
      </c>
      <c r="T265" s="291" t="s">
        <v>654</v>
      </c>
    </row>
    <row r="266" spans="13:20">
      <c r="M266" s="48" t="s">
        <v>64</v>
      </c>
      <c r="N266" s="291">
        <v>23</v>
      </c>
      <c r="O266" s="289" t="s">
        <v>464</v>
      </c>
      <c r="P266" s="291" t="s">
        <v>376</v>
      </c>
      <c r="Q266" s="291">
        <v>2</v>
      </c>
      <c r="R266" s="320">
        <v>1000</v>
      </c>
      <c r="S266" s="317">
        <f t="shared" si="21"/>
        <v>2000</v>
      </c>
      <c r="T266" s="291" t="s">
        <v>654</v>
      </c>
    </row>
    <row r="267" spans="13:20">
      <c r="M267" s="48" t="s">
        <v>64</v>
      </c>
      <c r="N267" s="291">
        <v>24</v>
      </c>
      <c r="O267" s="289" t="s">
        <v>465</v>
      </c>
      <c r="P267" s="291" t="s">
        <v>564</v>
      </c>
      <c r="Q267" s="291">
        <v>1</v>
      </c>
      <c r="R267" s="320">
        <v>1000</v>
      </c>
      <c r="S267" s="317">
        <f t="shared" si="21"/>
        <v>1000</v>
      </c>
      <c r="T267" s="291" t="s">
        <v>654</v>
      </c>
    </row>
    <row r="268" spans="13:20">
      <c r="M268" s="48" t="s">
        <v>64</v>
      </c>
      <c r="N268" s="291">
        <v>25</v>
      </c>
      <c r="O268" s="289" t="s">
        <v>565</v>
      </c>
      <c r="P268" s="291" t="s">
        <v>406</v>
      </c>
      <c r="Q268" s="291">
        <v>1</v>
      </c>
      <c r="R268" s="320">
        <v>1000</v>
      </c>
      <c r="S268" s="317">
        <f t="shared" si="21"/>
        <v>1000</v>
      </c>
      <c r="T268" s="291" t="s">
        <v>655</v>
      </c>
    </row>
    <row r="269" spans="13:20">
      <c r="M269" s="48" t="s">
        <v>56</v>
      </c>
      <c r="N269" s="291">
        <v>1</v>
      </c>
      <c r="O269" s="289" t="s">
        <v>447</v>
      </c>
      <c r="P269" s="291" t="s">
        <v>376</v>
      </c>
      <c r="Q269" s="291">
        <v>2</v>
      </c>
      <c r="R269" s="320">
        <v>1000</v>
      </c>
      <c r="S269" s="317">
        <f t="shared" si="21"/>
        <v>2000</v>
      </c>
      <c r="T269" s="291" t="s">
        <v>372</v>
      </c>
    </row>
    <row r="270" spans="13:20">
      <c r="M270" s="48" t="s">
        <v>56</v>
      </c>
      <c r="N270" s="291">
        <v>2</v>
      </c>
      <c r="O270" s="289" t="s">
        <v>504</v>
      </c>
      <c r="P270" s="291" t="s">
        <v>376</v>
      </c>
      <c r="Q270" s="291">
        <v>1</v>
      </c>
      <c r="R270" s="320">
        <v>1000</v>
      </c>
      <c r="S270" s="317">
        <f t="shared" si="21"/>
        <v>1000</v>
      </c>
      <c r="T270" s="291" t="s">
        <v>372</v>
      </c>
    </row>
    <row r="271" spans="13:20">
      <c r="M271" s="48" t="s">
        <v>56</v>
      </c>
      <c r="N271" s="291">
        <v>3</v>
      </c>
      <c r="O271" s="289" t="s">
        <v>566</v>
      </c>
      <c r="P271" s="291" t="s">
        <v>376</v>
      </c>
      <c r="Q271" s="291">
        <v>1</v>
      </c>
      <c r="R271" s="320">
        <v>1000</v>
      </c>
      <c r="S271" s="317">
        <f t="shared" si="21"/>
        <v>1000</v>
      </c>
      <c r="T271" s="291" t="s">
        <v>372</v>
      </c>
    </row>
    <row r="272" spans="13:20">
      <c r="M272" s="48" t="s">
        <v>56</v>
      </c>
      <c r="N272" s="291">
        <v>4</v>
      </c>
      <c r="O272" s="289" t="s">
        <v>567</v>
      </c>
      <c r="P272" s="291" t="s">
        <v>376</v>
      </c>
      <c r="Q272" s="291">
        <v>1</v>
      </c>
      <c r="R272" s="320">
        <v>1000</v>
      </c>
      <c r="S272" s="317">
        <f t="shared" si="21"/>
        <v>1000</v>
      </c>
      <c r="T272" s="291" t="s">
        <v>372</v>
      </c>
    </row>
    <row r="273" spans="13:20">
      <c r="M273" s="48" t="s">
        <v>56</v>
      </c>
      <c r="N273" s="291">
        <v>5</v>
      </c>
      <c r="O273" s="289" t="s">
        <v>568</v>
      </c>
      <c r="P273" s="291" t="s">
        <v>376</v>
      </c>
      <c r="Q273" s="291">
        <v>1</v>
      </c>
      <c r="R273" s="320">
        <v>1000</v>
      </c>
      <c r="S273" s="317">
        <f t="shared" si="21"/>
        <v>1000</v>
      </c>
      <c r="T273" s="291" t="s">
        <v>372</v>
      </c>
    </row>
    <row r="274" spans="13:20">
      <c r="M274" s="48" t="s">
        <v>56</v>
      </c>
      <c r="N274" s="291">
        <v>6</v>
      </c>
      <c r="O274" s="289" t="s">
        <v>569</v>
      </c>
      <c r="P274" s="291" t="s">
        <v>376</v>
      </c>
      <c r="Q274" s="291">
        <v>1</v>
      </c>
      <c r="R274" s="320">
        <v>1000</v>
      </c>
      <c r="S274" s="317">
        <f t="shared" si="21"/>
        <v>1000</v>
      </c>
      <c r="T274" s="291" t="s">
        <v>372</v>
      </c>
    </row>
    <row r="275" spans="13:20">
      <c r="M275" s="48" t="s">
        <v>56</v>
      </c>
      <c r="N275" s="291">
        <v>7</v>
      </c>
      <c r="O275" s="289" t="s">
        <v>570</v>
      </c>
      <c r="P275" s="291" t="s">
        <v>376</v>
      </c>
      <c r="Q275" s="291">
        <v>1</v>
      </c>
      <c r="R275" s="320">
        <v>1000</v>
      </c>
      <c r="S275" s="317">
        <f t="shared" si="21"/>
        <v>1000</v>
      </c>
      <c r="T275" s="291" t="s">
        <v>372</v>
      </c>
    </row>
    <row r="276" spans="13:20">
      <c r="M276" s="48" t="s">
        <v>56</v>
      </c>
      <c r="N276" s="291">
        <v>8</v>
      </c>
      <c r="O276" s="289" t="s">
        <v>571</v>
      </c>
      <c r="P276" s="291" t="s">
        <v>376</v>
      </c>
      <c r="Q276" s="291">
        <v>1</v>
      </c>
      <c r="R276" s="320">
        <v>1000</v>
      </c>
      <c r="S276" s="317">
        <f t="shared" si="21"/>
        <v>1000</v>
      </c>
      <c r="T276" s="291" t="s">
        <v>372</v>
      </c>
    </row>
    <row r="277" spans="13:20">
      <c r="M277" s="48" t="s">
        <v>56</v>
      </c>
      <c r="N277" s="291">
        <v>9</v>
      </c>
      <c r="O277" s="289" t="s">
        <v>572</v>
      </c>
      <c r="P277" s="291" t="s">
        <v>376</v>
      </c>
      <c r="Q277" s="291">
        <v>1</v>
      </c>
      <c r="R277" s="320">
        <v>1000</v>
      </c>
      <c r="S277" s="317">
        <f t="shared" si="21"/>
        <v>1000</v>
      </c>
      <c r="T277" s="291" t="s">
        <v>372</v>
      </c>
    </row>
    <row r="278" spans="13:20">
      <c r="M278" s="48" t="s">
        <v>56</v>
      </c>
      <c r="N278" s="291">
        <v>10</v>
      </c>
      <c r="O278" s="289" t="s">
        <v>573</v>
      </c>
      <c r="P278" s="291" t="s">
        <v>376</v>
      </c>
      <c r="Q278" s="291">
        <v>2</v>
      </c>
      <c r="R278" s="320">
        <v>1000</v>
      </c>
      <c r="S278" s="317">
        <f t="shared" si="21"/>
        <v>2000</v>
      </c>
      <c r="T278" s="291" t="s">
        <v>372</v>
      </c>
    </row>
    <row r="279" spans="13:20">
      <c r="M279" s="48" t="s">
        <v>56</v>
      </c>
      <c r="N279" s="291">
        <v>11</v>
      </c>
      <c r="O279" s="289" t="s">
        <v>574</v>
      </c>
      <c r="P279" s="291" t="s">
        <v>376</v>
      </c>
      <c r="Q279" s="291">
        <v>1</v>
      </c>
      <c r="R279" s="320">
        <v>1000</v>
      </c>
      <c r="S279" s="317">
        <f t="shared" si="21"/>
        <v>1000</v>
      </c>
      <c r="T279" s="291" t="s">
        <v>372</v>
      </c>
    </row>
    <row r="280" spans="13:20">
      <c r="M280" s="48" t="s">
        <v>56</v>
      </c>
      <c r="N280" s="291">
        <v>12</v>
      </c>
      <c r="O280" s="289" t="s">
        <v>452</v>
      </c>
      <c r="P280" s="291" t="s">
        <v>376</v>
      </c>
      <c r="Q280" s="291">
        <v>1</v>
      </c>
      <c r="R280" s="320">
        <v>1000</v>
      </c>
      <c r="S280" s="317">
        <f t="shared" si="21"/>
        <v>1000</v>
      </c>
      <c r="T280" s="291" t="s">
        <v>372</v>
      </c>
    </row>
    <row r="281" spans="13:20">
      <c r="M281" s="48" t="s">
        <v>56</v>
      </c>
      <c r="N281" s="291">
        <v>13</v>
      </c>
      <c r="O281" s="289" t="s">
        <v>575</v>
      </c>
      <c r="P281" s="291" t="s">
        <v>376</v>
      </c>
      <c r="Q281" s="291">
        <v>1</v>
      </c>
      <c r="R281" s="320">
        <v>1000</v>
      </c>
      <c r="S281" s="317">
        <f t="shared" si="21"/>
        <v>1000</v>
      </c>
      <c r="T281" s="291" t="s">
        <v>372</v>
      </c>
    </row>
    <row r="282" spans="13:20">
      <c r="M282" s="48" t="s">
        <v>56</v>
      </c>
      <c r="N282" s="291">
        <v>14</v>
      </c>
      <c r="O282" s="289" t="s">
        <v>576</v>
      </c>
      <c r="P282" s="291" t="s">
        <v>376</v>
      </c>
      <c r="Q282" s="291">
        <v>1</v>
      </c>
      <c r="R282" s="320">
        <v>1000</v>
      </c>
      <c r="S282" s="317">
        <f t="shared" si="21"/>
        <v>1000</v>
      </c>
      <c r="T282" s="291" t="s">
        <v>372</v>
      </c>
    </row>
    <row r="283" spans="13:20">
      <c r="M283" s="48" t="s">
        <v>56</v>
      </c>
      <c r="N283" s="291">
        <v>15</v>
      </c>
      <c r="O283" s="289" t="s">
        <v>577</v>
      </c>
      <c r="P283" s="291" t="s">
        <v>376</v>
      </c>
      <c r="Q283" s="291">
        <v>1</v>
      </c>
      <c r="R283" s="320">
        <v>1000</v>
      </c>
      <c r="S283" s="317">
        <f t="shared" si="21"/>
        <v>1000</v>
      </c>
      <c r="T283" s="291" t="s">
        <v>372</v>
      </c>
    </row>
    <row r="284" spans="13:20">
      <c r="M284" s="48" t="s">
        <v>56</v>
      </c>
      <c r="N284" s="291">
        <v>16</v>
      </c>
      <c r="O284" s="289" t="s">
        <v>578</v>
      </c>
      <c r="P284" s="291" t="s">
        <v>376</v>
      </c>
      <c r="Q284" s="291">
        <v>1</v>
      </c>
      <c r="R284" s="320">
        <v>1000</v>
      </c>
      <c r="S284" s="317">
        <f t="shared" si="21"/>
        <v>1000</v>
      </c>
      <c r="T284" s="291" t="s">
        <v>372</v>
      </c>
    </row>
    <row r="285" spans="13:20">
      <c r="M285" s="48" t="s">
        <v>56</v>
      </c>
      <c r="N285" s="291">
        <v>17</v>
      </c>
      <c r="O285" s="289" t="s">
        <v>579</v>
      </c>
      <c r="P285" s="291" t="s">
        <v>376</v>
      </c>
      <c r="Q285" s="291">
        <v>1</v>
      </c>
      <c r="R285" s="320">
        <v>1000</v>
      </c>
      <c r="S285" s="317">
        <f t="shared" si="21"/>
        <v>1000</v>
      </c>
      <c r="T285" s="291" t="s">
        <v>372</v>
      </c>
    </row>
    <row r="286" spans="13:20">
      <c r="M286" s="48" t="s">
        <v>56</v>
      </c>
      <c r="N286" s="291">
        <v>18</v>
      </c>
      <c r="O286" s="289" t="s">
        <v>580</v>
      </c>
      <c r="P286" s="291" t="s">
        <v>376</v>
      </c>
      <c r="Q286" s="291">
        <v>1</v>
      </c>
      <c r="R286" s="320">
        <v>1000</v>
      </c>
      <c r="S286" s="317">
        <f t="shared" si="21"/>
        <v>1000</v>
      </c>
      <c r="T286" s="291" t="s">
        <v>372</v>
      </c>
    </row>
    <row r="287" spans="13:20">
      <c r="M287" s="48" t="s">
        <v>56</v>
      </c>
      <c r="N287" s="291">
        <v>19</v>
      </c>
      <c r="O287" s="289" t="s">
        <v>581</v>
      </c>
      <c r="P287" s="291" t="s">
        <v>376</v>
      </c>
      <c r="Q287" s="291">
        <v>1</v>
      </c>
      <c r="R287" s="320">
        <v>1000</v>
      </c>
      <c r="S287" s="317">
        <f t="shared" si="21"/>
        <v>1000</v>
      </c>
      <c r="T287" s="291" t="s">
        <v>372</v>
      </c>
    </row>
    <row r="288" spans="13:20">
      <c r="M288" s="48" t="s">
        <v>56</v>
      </c>
      <c r="N288" s="291">
        <v>20</v>
      </c>
      <c r="O288" s="289" t="s">
        <v>582</v>
      </c>
      <c r="P288" s="291" t="s">
        <v>376</v>
      </c>
      <c r="Q288" s="291">
        <v>1</v>
      </c>
      <c r="R288" s="320">
        <v>1000</v>
      </c>
      <c r="S288" s="317">
        <f t="shared" si="21"/>
        <v>1000</v>
      </c>
      <c r="T288" s="291" t="s">
        <v>654</v>
      </c>
    </row>
    <row r="289" spans="13:20">
      <c r="M289" s="48" t="s">
        <v>56</v>
      </c>
      <c r="N289" s="291">
        <v>21</v>
      </c>
      <c r="O289" s="289" t="s">
        <v>583</v>
      </c>
      <c r="P289" s="291" t="s">
        <v>376</v>
      </c>
      <c r="Q289" s="291">
        <v>1</v>
      </c>
      <c r="R289" s="320">
        <v>1000</v>
      </c>
      <c r="S289" s="317">
        <f t="shared" si="21"/>
        <v>1000</v>
      </c>
      <c r="T289" s="291" t="s">
        <v>372</v>
      </c>
    </row>
    <row r="290" spans="13:20">
      <c r="M290" s="48" t="s">
        <v>56</v>
      </c>
      <c r="N290" s="291">
        <v>22</v>
      </c>
      <c r="O290" s="289" t="s">
        <v>584</v>
      </c>
      <c r="P290" s="291" t="s">
        <v>376</v>
      </c>
      <c r="Q290" s="291">
        <v>1</v>
      </c>
      <c r="R290" s="320">
        <v>1000</v>
      </c>
      <c r="S290" s="317">
        <f t="shared" si="21"/>
        <v>1000</v>
      </c>
      <c r="T290" s="291" t="s">
        <v>372</v>
      </c>
    </row>
    <row r="291" spans="13:20">
      <c r="M291" s="48" t="s">
        <v>56</v>
      </c>
      <c r="N291" s="291">
        <v>23</v>
      </c>
      <c r="O291" s="289" t="s">
        <v>585</v>
      </c>
      <c r="P291" s="291" t="s">
        <v>376</v>
      </c>
      <c r="Q291" s="291">
        <v>1</v>
      </c>
      <c r="R291" s="320">
        <v>1000</v>
      </c>
      <c r="S291" s="317">
        <f t="shared" si="21"/>
        <v>1000</v>
      </c>
      <c r="T291" s="291" t="s">
        <v>372</v>
      </c>
    </row>
    <row r="292" spans="13:20">
      <c r="M292" s="48" t="s">
        <v>56</v>
      </c>
      <c r="N292" s="291">
        <v>24</v>
      </c>
      <c r="O292" s="289" t="s">
        <v>586</v>
      </c>
      <c r="P292" s="291" t="s">
        <v>376</v>
      </c>
      <c r="Q292" s="291">
        <v>2</v>
      </c>
      <c r="R292" s="320">
        <v>1000</v>
      </c>
      <c r="S292" s="317">
        <f t="shared" si="21"/>
        <v>2000</v>
      </c>
      <c r="T292" s="291" t="s">
        <v>372</v>
      </c>
    </row>
    <row r="293" spans="13:20">
      <c r="M293" s="48" t="s">
        <v>56</v>
      </c>
      <c r="N293" s="291">
        <v>25</v>
      </c>
      <c r="O293" s="289" t="s">
        <v>389</v>
      </c>
      <c r="P293" s="291" t="s">
        <v>376</v>
      </c>
      <c r="Q293" s="291">
        <v>2</v>
      </c>
      <c r="R293" s="320">
        <v>1000</v>
      </c>
      <c r="S293" s="317">
        <f t="shared" si="21"/>
        <v>2000</v>
      </c>
      <c r="T293" s="291" t="s">
        <v>654</v>
      </c>
    </row>
    <row r="294" spans="13:20" ht="14.25">
      <c r="M294" s="48" t="s">
        <v>56</v>
      </c>
      <c r="N294" s="291">
        <v>26</v>
      </c>
      <c r="O294" s="289" t="s">
        <v>587</v>
      </c>
      <c r="P294" s="291" t="s">
        <v>528</v>
      </c>
      <c r="Q294" s="291">
        <v>2</v>
      </c>
      <c r="R294" s="320">
        <v>1000</v>
      </c>
      <c r="S294" s="317">
        <f t="shared" si="21"/>
        <v>2000</v>
      </c>
      <c r="T294" s="291" t="s">
        <v>654</v>
      </c>
    </row>
    <row r="295" spans="13:20" ht="14.25">
      <c r="M295" s="48" t="s">
        <v>56</v>
      </c>
      <c r="N295" s="291">
        <v>27</v>
      </c>
      <c r="O295" s="289" t="s">
        <v>588</v>
      </c>
      <c r="P295" s="291" t="s">
        <v>376</v>
      </c>
      <c r="Q295" s="291">
        <v>2</v>
      </c>
      <c r="R295" s="320">
        <v>1000</v>
      </c>
      <c r="S295" s="317">
        <f t="shared" si="21"/>
        <v>2000</v>
      </c>
      <c r="T295" s="291" t="s">
        <v>654</v>
      </c>
    </row>
    <row r="296" spans="13:20">
      <c r="M296" s="48" t="s">
        <v>56</v>
      </c>
      <c r="N296" s="291">
        <v>28</v>
      </c>
      <c r="O296" s="289" t="s">
        <v>562</v>
      </c>
      <c r="P296" s="291" t="s">
        <v>528</v>
      </c>
      <c r="Q296" s="291">
        <v>50</v>
      </c>
      <c r="R296" s="320">
        <v>1000</v>
      </c>
      <c r="S296" s="317">
        <f t="shared" si="21"/>
        <v>50000</v>
      </c>
      <c r="T296" s="291" t="s">
        <v>372</v>
      </c>
    </row>
    <row r="297" spans="13:20">
      <c r="M297" s="48" t="s">
        <v>56</v>
      </c>
      <c r="N297" s="291">
        <v>29</v>
      </c>
      <c r="O297" s="289" t="s">
        <v>563</v>
      </c>
      <c r="P297" s="291" t="s">
        <v>376</v>
      </c>
      <c r="Q297" s="291">
        <v>1</v>
      </c>
      <c r="R297" s="320">
        <v>1000</v>
      </c>
      <c r="S297" s="317">
        <f t="shared" si="21"/>
        <v>1000</v>
      </c>
      <c r="T297" s="291" t="s">
        <v>654</v>
      </c>
    </row>
    <row r="298" spans="13:20">
      <c r="M298" s="48" t="s">
        <v>56</v>
      </c>
      <c r="N298" s="291">
        <v>30</v>
      </c>
      <c r="O298" s="289" t="s">
        <v>464</v>
      </c>
      <c r="P298" s="291" t="s">
        <v>376</v>
      </c>
      <c r="Q298" s="291">
        <v>2</v>
      </c>
      <c r="R298" s="320">
        <v>1000</v>
      </c>
      <c r="S298" s="317">
        <f t="shared" si="21"/>
        <v>2000</v>
      </c>
      <c r="T298" s="291" t="s">
        <v>654</v>
      </c>
    </row>
    <row r="299" spans="13:20">
      <c r="M299" s="48" t="s">
        <v>56</v>
      </c>
      <c r="N299" s="291">
        <v>31</v>
      </c>
      <c r="O299" s="289" t="s">
        <v>565</v>
      </c>
      <c r="P299" s="291" t="s">
        <v>406</v>
      </c>
      <c r="Q299" s="291">
        <v>1</v>
      </c>
      <c r="R299" s="320">
        <v>1000</v>
      </c>
      <c r="S299" s="317">
        <f t="shared" si="21"/>
        <v>1000</v>
      </c>
      <c r="T299" s="291" t="s">
        <v>655</v>
      </c>
    </row>
    <row r="300" spans="13:20">
      <c r="M300" s="48" t="s">
        <v>172</v>
      </c>
      <c r="N300" s="291">
        <v>1</v>
      </c>
      <c r="O300" s="289" t="s">
        <v>395</v>
      </c>
      <c r="P300" s="291" t="s">
        <v>376</v>
      </c>
      <c r="Q300" s="291">
        <v>6</v>
      </c>
      <c r="R300" s="320">
        <v>1000</v>
      </c>
      <c r="S300" s="317">
        <f t="shared" si="21"/>
        <v>6000</v>
      </c>
      <c r="T300" s="291" t="s">
        <v>654</v>
      </c>
    </row>
    <row r="301" spans="13:20">
      <c r="M301" s="48" t="s">
        <v>172</v>
      </c>
      <c r="N301" s="291">
        <v>2</v>
      </c>
      <c r="O301" s="289" t="s">
        <v>589</v>
      </c>
      <c r="P301" s="291" t="s">
        <v>376</v>
      </c>
      <c r="Q301" s="291">
        <v>20</v>
      </c>
      <c r="R301" s="320">
        <v>1000</v>
      </c>
      <c r="S301" s="317">
        <f t="shared" si="21"/>
        <v>20000</v>
      </c>
      <c r="T301" s="291" t="s">
        <v>654</v>
      </c>
    </row>
    <row r="302" spans="13:20">
      <c r="M302" s="48" t="s">
        <v>172</v>
      </c>
      <c r="N302" s="291">
        <v>3</v>
      </c>
      <c r="O302" s="289" t="s">
        <v>590</v>
      </c>
      <c r="P302" s="291" t="s">
        <v>376</v>
      </c>
      <c r="Q302" s="291">
        <v>6</v>
      </c>
      <c r="R302" s="320">
        <v>1000</v>
      </c>
      <c r="S302" s="317">
        <f t="shared" si="21"/>
        <v>6000</v>
      </c>
      <c r="T302" s="291" t="s">
        <v>654</v>
      </c>
    </row>
    <row r="303" spans="13:20">
      <c r="M303" s="48" t="s">
        <v>172</v>
      </c>
      <c r="N303" s="291">
        <v>4</v>
      </c>
      <c r="O303" s="289" t="s">
        <v>591</v>
      </c>
      <c r="P303" s="291" t="s">
        <v>376</v>
      </c>
      <c r="Q303" s="291">
        <v>6</v>
      </c>
      <c r="R303" s="320">
        <v>1000</v>
      </c>
      <c r="S303" s="317">
        <f t="shared" si="21"/>
        <v>6000</v>
      </c>
      <c r="T303" s="291" t="s">
        <v>654</v>
      </c>
    </row>
    <row r="304" spans="13:20">
      <c r="M304" s="48" t="s">
        <v>172</v>
      </c>
      <c r="N304" s="291">
        <v>5</v>
      </c>
      <c r="O304" s="289" t="s">
        <v>592</v>
      </c>
      <c r="P304" s="291" t="s">
        <v>376</v>
      </c>
      <c r="Q304" s="291">
        <v>3</v>
      </c>
      <c r="R304" s="320">
        <v>1000</v>
      </c>
      <c r="S304" s="317">
        <f t="shared" si="21"/>
        <v>3000</v>
      </c>
      <c r="T304" s="291" t="s">
        <v>654</v>
      </c>
    </row>
    <row r="305" spans="13:20">
      <c r="M305" s="48" t="s">
        <v>172</v>
      </c>
      <c r="N305" s="291">
        <v>6</v>
      </c>
      <c r="O305" s="289" t="s">
        <v>593</v>
      </c>
      <c r="P305" s="291" t="s">
        <v>376</v>
      </c>
      <c r="Q305" s="291">
        <v>1</v>
      </c>
      <c r="R305" s="320">
        <v>1000</v>
      </c>
      <c r="S305" s="317">
        <f t="shared" si="21"/>
        <v>1000</v>
      </c>
      <c r="T305" s="291" t="s">
        <v>655</v>
      </c>
    </row>
    <row r="306" spans="13:20">
      <c r="M306" s="48" t="s">
        <v>172</v>
      </c>
      <c r="N306" s="291">
        <v>7</v>
      </c>
      <c r="O306" s="289" t="s">
        <v>594</v>
      </c>
      <c r="P306" s="291" t="s">
        <v>564</v>
      </c>
      <c r="Q306" s="291">
        <v>3</v>
      </c>
      <c r="R306" s="320">
        <v>1000</v>
      </c>
      <c r="S306" s="317">
        <f t="shared" si="21"/>
        <v>3000</v>
      </c>
      <c r="T306" s="291" t="s">
        <v>655</v>
      </c>
    </row>
    <row r="307" spans="13:20">
      <c r="M307" s="48" t="s">
        <v>172</v>
      </c>
      <c r="N307" s="291">
        <v>8</v>
      </c>
      <c r="O307" s="289" t="s">
        <v>595</v>
      </c>
      <c r="P307" s="291" t="s">
        <v>406</v>
      </c>
      <c r="Q307" s="291">
        <v>1</v>
      </c>
      <c r="R307" s="320">
        <v>1000</v>
      </c>
      <c r="S307" s="317">
        <f t="shared" si="21"/>
        <v>1000</v>
      </c>
      <c r="T307" s="291" t="s">
        <v>655</v>
      </c>
    </row>
    <row r="308" spans="13:20">
      <c r="M308" s="48" t="s">
        <v>172</v>
      </c>
      <c r="N308" s="291">
        <v>9</v>
      </c>
      <c r="O308" s="289" t="s">
        <v>596</v>
      </c>
      <c r="P308" s="291" t="s">
        <v>376</v>
      </c>
      <c r="Q308" s="291">
        <v>1</v>
      </c>
      <c r="R308" s="320">
        <v>1000</v>
      </c>
      <c r="S308" s="317">
        <f t="shared" si="21"/>
        <v>1000</v>
      </c>
      <c r="T308" s="291" t="s">
        <v>655</v>
      </c>
    </row>
    <row r="309" spans="13:20">
      <c r="M309" s="48" t="s">
        <v>172</v>
      </c>
      <c r="N309" s="291">
        <v>10</v>
      </c>
      <c r="O309" s="289" t="s">
        <v>597</v>
      </c>
      <c r="P309" s="291" t="s">
        <v>376</v>
      </c>
      <c r="Q309" s="291">
        <v>1</v>
      </c>
      <c r="R309" s="320">
        <v>1000</v>
      </c>
      <c r="S309" s="317">
        <f t="shared" si="21"/>
        <v>1000</v>
      </c>
      <c r="T309" s="291" t="s">
        <v>655</v>
      </c>
    </row>
    <row r="310" spans="13:20" ht="38.25">
      <c r="M310" s="48" t="s">
        <v>172</v>
      </c>
      <c r="N310" s="291">
        <v>11</v>
      </c>
      <c r="O310" s="289" t="s">
        <v>598</v>
      </c>
      <c r="P310" s="291" t="s">
        <v>401</v>
      </c>
      <c r="Q310" s="291">
        <v>1</v>
      </c>
      <c r="R310" s="320">
        <v>1000</v>
      </c>
      <c r="S310" s="317">
        <f t="shared" si="21"/>
        <v>1000</v>
      </c>
      <c r="T310" s="291" t="s">
        <v>655</v>
      </c>
    </row>
    <row r="311" spans="13:20">
      <c r="M311" s="48" t="s">
        <v>172</v>
      </c>
      <c r="N311" s="291">
        <v>12</v>
      </c>
      <c r="O311" s="289" t="s">
        <v>599</v>
      </c>
      <c r="P311" s="291" t="s">
        <v>376</v>
      </c>
      <c r="Q311" s="291">
        <v>3</v>
      </c>
      <c r="R311" s="320">
        <v>1000</v>
      </c>
      <c r="S311" s="317">
        <f t="shared" si="21"/>
        <v>3000</v>
      </c>
      <c r="T311" s="291" t="s">
        <v>655</v>
      </c>
    </row>
    <row r="312" spans="13:20">
      <c r="M312" s="48" t="s">
        <v>172</v>
      </c>
      <c r="N312" s="291">
        <v>1</v>
      </c>
      <c r="O312" s="289" t="s">
        <v>600</v>
      </c>
      <c r="P312" s="291" t="s">
        <v>376</v>
      </c>
      <c r="Q312" s="291">
        <v>15</v>
      </c>
      <c r="R312" s="320">
        <v>1000</v>
      </c>
      <c r="S312" s="317">
        <f t="shared" si="21"/>
        <v>15000</v>
      </c>
      <c r="T312" s="291" t="s">
        <v>654</v>
      </c>
    </row>
    <row r="313" spans="13:20">
      <c r="M313" s="48" t="s">
        <v>172</v>
      </c>
      <c r="N313" s="291">
        <v>2</v>
      </c>
      <c r="O313" s="289" t="s">
        <v>589</v>
      </c>
      <c r="P313" s="291" t="s">
        <v>376</v>
      </c>
      <c r="Q313" s="291">
        <v>30</v>
      </c>
      <c r="R313" s="320">
        <v>1000</v>
      </c>
      <c r="S313" s="317">
        <f t="shared" si="21"/>
        <v>30000</v>
      </c>
      <c r="T313" s="291" t="s">
        <v>654</v>
      </c>
    </row>
    <row r="314" spans="13:20">
      <c r="M314" s="48" t="s">
        <v>172</v>
      </c>
      <c r="N314" s="291">
        <v>3</v>
      </c>
      <c r="O314" s="289" t="s">
        <v>590</v>
      </c>
      <c r="P314" s="291" t="s">
        <v>376</v>
      </c>
      <c r="Q314" s="291">
        <v>6</v>
      </c>
      <c r="R314" s="320">
        <v>1000</v>
      </c>
      <c r="S314" s="317">
        <f t="shared" si="21"/>
        <v>6000</v>
      </c>
      <c r="T314" s="291" t="s">
        <v>654</v>
      </c>
    </row>
    <row r="315" spans="13:20">
      <c r="M315" s="48" t="s">
        <v>172</v>
      </c>
      <c r="N315" s="291">
        <v>4</v>
      </c>
      <c r="O315" s="289" t="s">
        <v>601</v>
      </c>
      <c r="P315" s="291" t="s">
        <v>376</v>
      </c>
      <c r="Q315" s="291">
        <v>5</v>
      </c>
      <c r="R315" s="320">
        <v>1000</v>
      </c>
      <c r="S315" s="317">
        <f t="shared" si="21"/>
        <v>5000</v>
      </c>
      <c r="T315" s="291" t="s">
        <v>654</v>
      </c>
    </row>
    <row r="316" spans="13:20">
      <c r="M316" s="48" t="s">
        <v>172</v>
      </c>
      <c r="N316" s="291">
        <v>5</v>
      </c>
      <c r="O316" s="289" t="s">
        <v>592</v>
      </c>
      <c r="P316" s="291" t="s">
        <v>376</v>
      </c>
      <c r="Q316" s="291">
        <v>4</v>
      </c>
      <c r="R316" s="320">
        <v>1000</v>
      </c>
      <c r="S316" s="317">
        <f t="shared" si="21"/>
        <v>4000</v>
      </c>
      <c r="T316" s="291" t="s">
        <v>654</v>
      </c>
    </row>
    <row r="317" spans="13:20">
      <c r="M317" s="48" t="s">
        <v>172</v>
      </c>
      <c r="N317" s="291">
        <v>6</v>
      </c>
      <c r="O317" s="289" t="s">
        <v>602</v>
      </c>
      <c r="P317" s="291" t="s">
        <v>376</v>
      </c>
      <c r="Q317" s="291">
        <v>15</v>
      </c>
      <c r="R317" s="320">
        <v>1000</v>
      </c>
      <c r="S317" s="317">
        <f t="shared" si="21"/>
        <v>15000</v>
      </c>
      <c r="T317" s="291" t="s">
        <v>654</v>
      </c>
    </row>
    <row r="318" spans="13:20">
      <c r="M318" s="48" t="s">
        <v>172</v>
      </c>
      <c r="N318" s="291">
        <v>7</v>
      </c>
      <c r="O318" s="289" t="s">
        <v>565</v>
      </c>
      <c r="P318" s="291" t="s">
        <v>406</v>
      </c>
      <c r="Q318" s="291">
        <v>6</v>
      </c>
      <c r="R318" s="320">
        <v>1000</v>
      </c>
      <c r="S318" s="317">
        <f t="shared" si="21"/>
        <v>6000</v>
      </c>
      <c r="T318" s="291" t="s">
        <v>655</v>
      </c>
    </row>
    <row r="319" spans="13:20">
      <c r="M319" s="48" t="s">
        <v>172</v>
      </c>
      <c r="N319" s="291">
        <v>8</v>
      </c>
      <c r="O319" s="289" t="s">
        <v>603</v>
      </c>
      <c r="P319" s="291" t="s">
        <v>376</v>
      </c>
      <c r="Q319" s="291">
        <v>3</v>
      </c>
      <c r="R319" s="320">
        <v>1000</v>
      </c>
      <c r="S319" s="317">
        <f t="shared" si="21"/>
        <v>3000</v>
      </c>
      <c r="T319" s="291" t="s">
        <v>654</v>
      </c>
    </row>
    <row r="320" spans="13:20">
      <c r="M320" s="48" t="s">
        <v>888</v>
      </c>
      <c r="N320" s="291">
        <v>1</v>
      </c>
      <c r="O320" s="289" t="s">
        <v>383</v>
      </c>
      <c r="P320" s="291" t="s">
        <v>376</v>
      </c>
      <c r="Q320" s="291">
        <v>20</v>
      </c>
      <c r="R320" s="320">
        <v>1000</v>
      </c>
      <c r="S320" s="317">
        <f t="shared" si="21"/>
        <v>20000</v>
      </c>
      <c r="T320" s="291" t="s">
        <v>654</v>
      </c>
    </row>
    <row r="321" spans="13:20">
      <c r="M321" s="48" t="s">
        <v>888</v>
      </c>
      <c r="N321" s="291">
        <v>2</v>
      </c>
      <c r="O321" s="289" t="s">
        <v>604</v>
      </c>
      <c r="P321" s="291" t="s">
        <v>376</v>
      </c>
      <c r="Q321" s="291">
        <v>20</v>
      </c>
      <c r="R321" s="320">
        <v>1000</v>
      </c>
      <c r="S321" s="317">
        <f t="shared" si="21"/>
        <v>20000</v>
      </c>
      <c r="T321" s="291" t="s">
        <v>654</v>
      </c>
    </row>
    <row r="322" spans="13:20">
      <c r="M322" s="48" t="s">
        <v>888</v>
      </c>
      <c r="N322" s="291">
        <v>3</v>
      </c>
      <c r="O322" s="289" t="s">
        <v>605</v>
      </c>
      <c r="P322" s="291" t="s">
        <v>376</v>
      </c>
      <c r="Q322" s="291">
        <v>5</v>
      </c>
      <c r="R322" s="320">
        <v>1000</v>
      </c>
      <c r="S322" s="317">
        <f t="shared" si="21"/>
        <v>5000</v>
      </c>
      <c r="T322" s="291" t="s">
        <v>654</v>
      </c>
    </row>
    <row r="323" spans="13:20">
      <c r="M323" s="48" t="s">
        <v>888</v>
      </c>
      <c r="N323" s="291">
        <v>4</v>
      </c>
      <c r="O323" s="289" t="s">
        <v>385</v>
      </c>
      <c r="P323" s="291" t="s">
        <v>376</v>
      </c>
      <c r="Q323" s="291">
        <v>10</v>
      </c>
      <c r="R323" s="320">
        <v>1000</v>
      </c>
      <c r="S323" s="317">
        <f t="shared" si="21"/>
        <v>10000</v>
      </c>
      <c r="T323" s="291" t="s">
        <v>654</v>
      </c>
    </row>
    <row r="324" spans="13:20">
      <c r="M324" s="48" t="s">
        <v>888</v>
      </c>
      <c r="N324" s="291">
        <v>5</v>
      </c>
      <c r="O324" s="289" t="s">
        <v>606</v>
      </c>
      <c r="P324" s="291" t="s">
        <v>376</v>
      </c>
      <c r="Q324" s="291">
        <v>30</v>
      </c>
      <c r="R324" s="320">
        <v>1000</v>
      </c>
      <c r="S324" s="317">
        <f t="shared" si="21"/>
        <v>30000</v>
      </c>
      <c r="T324" s="291" t="s">
        <v>654</v>
      </c>
    </row>
    <row r="325" spans="13:20">
      <c r="M325" s="48" t="s">
        <v>888</v>
      </c>
      <c r="N325" s="291">
        <v>6</v>
      </c>
      <c r="O325" s="289" t="s">
        <v>607</v>
      </c>
      <c r="P325" s="291" t="s">
        <v>376</v>
      </c>
      <c r="Q325" s="291">
        <v>30</v>
      </c>
      <c r="R325" s="320">
        <v>1000</v>
      </c>
      <c r="S325" s="317">
        <f t="shared" si="21"/>
        <v>30000</v>
      </c>
      <c r="T325" s="291" t="s">
        <v>654</v>
      </c>
    </row>
    <row r="326" spans="13:20">
      <c r="M326" s="48" t="s">
        <v>888</v>
      </c>
      <c r="N326" s="291">
        <v>7</v>
      </c>
      <c r="O326" s="289" t="s">
        <v>608</v>
      </c>
      <c r="P326" s="291" t="s">
        <v>376</v>
      </c>
      <c r="Q326" s="291">
        <v>10</v>
      </c>
      <c r="R326" s="320">
        <v>1000</v>
      </c>
      <c r="S326" s="317">
        <f t="shared" si="21"/>
        <v>10000</v>
      </c>
      <c r="T326" s="291" t="s">
        <v>372</v>
      </c>
    </row>
    <row r="327" spans="13:20">
      <c r="M327" s="48" t="s">
        <v>888</v>
      </c>
      <c r="N327" s="291">
        <v>8</v>
      </c>
      <c r="O327" s="289" t="s">
        <v>609</v>
      </c>
      <c r="P327" s="291" t="s">
        <v>376</v>
      </c>
      <c r="Q327" s="291">
        <v>2000</v>
      </c>
      <c r="R327" s="320">
        <v>1000</v>
      </c>
      <c r="S327" s="317">
        <f t="shared" si="21"/>
        <v>2000000</v>
      </c>
      <c r="T327" s="291" t="s">
        <v>372</v>
      </c>
    </row>
    <row r="328" spans="13:20">
      <c r="M328" s="48" t="s">
        <v>888</v>
      </c>
      <c r="N328" s="291">
        <v>9</v>
      </c>
      <c r="O328" s="289" t="s">
        <v>610</v>
      </c>
      <c r="P328" s="291" t="s">
        <v>376</v>
      </c>
      <c r="Q328" s="291">
        <v>100</v>
      </c>
      <c r="R328" s="320">
        <v>1000</v>
      </c>
      <c r="S328" s="317">
        <f t="shared" si="21"/>
        <v>100000</v>
      </c>
      <c r="T328" s="291" t="s">
        <v>372</v>
      </c>
    </row>
    <row r="329" spans="13:20">
      <c r="M329" s="48" t="s">
        <v>888</v>
      </c>
      <c r="N329" s="291">
        <v>10</v>
      </c>
      <c r="O329" s="289" t="s">
        <v>611</v>
      </c>
      <c r="P329" s="291" t="s">
        <v>376</v>
      </c>
      <c r="Q329" s="291">
        <v>15</v>
      </c>
      <c r="R329" s="320">
        <v>1000</v>
      </c>
      <c r="S329" s="317">
        <f t="shared" ref="S329:S375" si="22">R329*Q329</f>
        <v>15000</v>
      </c>
      <c r="T329" s="291" t="s">
        <v>654</v>
      </c>
    </row>
    <row r="330" spans="13:20">
      <c r="M330" s="48" t="s">
        <v>888</v>
      </c>
      <c r="N330" s="291">
        <v>11</v>
      </c>
      <c r="O330" s="289" t="s">
        <v>592</v>
      </c>
      <c r="P330" s="291" t="s">
        <v>376</v>
      </c>
      <c r="Q330" s="291">
        <v>10</v>
      </c>
      <c r="R330" s="320">
        <v>1000</v>
      </c>
      <c r="S330" s="317">
        <f t="shared" si="22"/>
        <v>10000</v>
      </c>
      <c r="T330" s="291" t="s">
        <v>654</v>
      </c>
    </row>
    <row r="331" spans="13:20">
      <c r="M331" s="48" t="s">
        <v>888</v>
      </c>
      <c r="N331" s="291">
        <v>12</v>
      </c>
      <c r="O331" s="289" t="s">
        <v>538</v>
      </c>
      <c r="P331" s="291" t="s">
        <v>376</v>
      </c>
      <c r="Q331" s="291">
        <v>30</v>
      </c>
      <c r="R331" s="320">
        <v>1000</v>
      </c>
      <c r="S331" s="317">
        <f t="shared" si="22"/>
        <v>30000</v>
      </c>
      <c r="T331" s="291" t="s">
        <v>654</v>
      </c>
    </row>
    <row r="332" spans="13:20">
      <c r="M332" s="48" t="s">
        <v>888</v>
      </c>
      <c r="N332" s="291">
        <v>13</v>
      </c>
      <c r="O332" s="289" t="s">
        <v>413</v>
      </c>
      <c r="P332" s="291" t="s">
        <v>376</v>
      </c>
      <c r="Q332" s="291">
        <v>5</v>
      </c>
      <c r="R332" s="320">
        <v>1000</v>
      </c>
      <c r="S332" s="317">
        <f t="shared" si="22"/>
        <v>5000</v>
      </c>
      <c r="T332" s="291" t="s">
        <v>654</v>
      </c>
    </row>
    <row r="333" spans="13:20">
      <c r="M333" s="48" t="s">
        <v>888</v>
      </c>
      <c r="N333" s="291">
        <v>14</v>
      </c>
      <c r="O333" s="289" t="s">
        <v>414</v>
      </c>
      <c r="P333" s="291" t="s">
        <v>376</v>
      </c>
      <c r="Q333" s="291">
        <v>5</v>
      </c>
      <c r="R333" s="320">
        <v>1000</v>
      </c>
      <c r="S333" s="317">
        <f t="shared" si="22"/>
        <v>5000</v>
      </c>
      <c r="T333" s="291" t="s">
        <v>654</v>
      </c>
    </row>
    <row r="334" spans="13:20">
      <c r="M334" s="48" t="s">
        <v>888</v>
      </c>
      <c r="N334" s="291">
        <v>15</v>
      </c>
      <c r="O334" s="289" t="s">
        <v>612</v>
      </c>
      <c r="P334" s="291" t="s">
        <v>376</v>
      </c>
      <c r="Q334" s="291">
        <v>5</v>
      </c>
      <c r="R334" s="320">
        <v>1000</v>
      </c>
      <c r="S334" s="317">
        <f t="shared" si="22"/>
        <v>5000</v>
      </c>
      <c r="T334" s="291" t="s">
        <v>372</v>
      </c>
    </row>
    <row r="335" spans="13:20">
      <c r="M335" s="48" t="s">
        <v>888</v>
      </c>
      <c r="N335" s="291">
        <v>16</v>
      </c>
      <c r="O335" s="289" t="s">
        <v>613</v>
      </c>
      <c r="P335" s="291" t="s">
        <v>376</v>
      </c>
      <c r="Q335" s="291">
        <v>3</v>
      </c>
      <c r="R335" s="320">
        <v>1000</v>
      </c>
      <c r="S335" s="317">
        <f t="shared" si="22"/>
        <v>3000</v>
      </c>
      <c r="T335" s="291" t="s">
        <v>372</v>
      </c>
    </row>
    <row r="336" spans="13:20">
      <c r="M336" s="48" t="s">
        <v>888</v>
      </c>
      <c r="N336" s="291">
        <v>17</v>
      </c>
      <c r="O336" s="289" t="s">
        <v>614</v>
      </c>
      <c r="P336" s="291" t="s">
        <v>376</v>
      </c>
      <c r="Q336" s="291">
        <v>20</v>
      </c>
      <c r="R336" s="320">
        <v>1000</v>
      </c>
      <c r="S336" s="317">
        <f t="shared" si="22"/>
        <v>20000</v>
      </c>
      <c r="T336" s="291" t="s">
        <v>654</v>
      </c>
    </row>
    <row r="337" spans="13:20">
      <c r="M337" s="48" t="s">
        <v>888</v>
      </c>
      <c r="N337" s="291">
        <v>18</v>
      </c>
      <c r="O337" s="289" t="s">
        <v>615</v>
      </c>
      <c r="P337" s="291" t="s">
        <v>376</v>
      </c>
      <c r="Q337" s="291">
        <v>50</v>
      </c>
      <c r="R337" s="320">
        <v>1000</v>
      </c>
      <c r="S337" s="317">
        <f t="shared" si="22"/>
        <v>50000</v>
      </c>
      <c r="T337" s="291" t="s">
        <v>654</v>
      </c>
    </row>
    <row r="338" spans="13:20">
      <c r="M338" s="48" t="s">
        <v>888</v>
      </c>
      <c r="N338" s="291">
        <v>19</v>
      </c>
      <c r="O338" s="289" t="s">
        <v>616</v>
      </c>
      <c r="P338" s="291" t="s">
        <v>528</v>
      </c>
      <c r="Q338" s="291">
        <v>300</v>
      </c>
      <c r="R338" s="320">
        <v>1000</v>
      </c>
      <c r="S338" s="317">
        <f t="shared" si="22"/>
        <v>300000</v>
      </c>
      <c r="T338" s="291" t="s">
        <v>372</v>
      </c>
    </row>
    <row r="339" spans="13:20">
      <c r="M339" s="48" t="s">
        <v>888</v>
      </c>
      <c r="N339" s="291">
        <v>20</v>
      </c>
      <c r="O339" s="289" t="s">
        <v>589</v>
      </c>
      <c r="P339" s="291" t="s">
        <v>376</v>
      </c>
      <c r="Q339" s="291">
        <v>60</v>
      </c>
      <c r="R339" s="320">
        <v>1000</v>
      </c>
      <c r="S339" s="317">
        <f t="shared" si="22"/>
        <v>60000</v>
      </c>
      <c r="T339" s="291" t="s">
        <v>654</v>
      </c>
    </row>
    <row r="340" spans="13:20">
      <c r="M340" s="48" t="s">
        <v>888</v>
      </c>
      <c r="N340" s="291">
        <v>21</v>
      </c>
      <c r="O340" s="289" t="s">
        <v>617</v>
      </c>
      <c r="P340" s="291" t="s">
        <v>376</v>
      </c>
      <c r="Q340" s="291">
        <v>60</v>
      </c>
      <c r="R340" s="320">
        <v>1000</v>
      </c>
      <c r="S340" s="317">
        <f t="shared" si="22"/>
        <v>60000</v>
      </c>
      <c r="T340" s="291" t="s">
        <v>654</v>
      </c>
    </row>
    <row r="341" spans="13:20">
      <c r="M341" s="48" t="s">
        <v>888</v>
      </c>
      <c r="N341" s="291">
        <v>22</v>
      </c>
      <c r="O341" s="289" t="s">
        <v>560</v>
      </c>
      <c r="P341" s="291" t="s">
        <v>406</v>
      </c>
      <c r="Q341" s="291">
        <v>15</v>
      </c>
      <c r="R341" s="320">
        <v>1000</v>
      </c>
      <c r="S341" s="317">
        <f t="shared" si="22"/>
        <v>15000</v>
      </c>
      <c r="T341" s="291" t="s">
        <v>654</v>
      </c>
    </row>
    <row r="342" spans="13:20">
      <c r="M342" s="48" t="s">
        <v>888</v>
      </c>
      <c r="N342" s="291">
        <v>23</v>
      </c>
      <c r="O342" s="289" t="s">
        <v>618</v>
      </c>
      <c r="P342" s="291" t="s">
        <v>376</v>
      </c>
      <c r="Q342" s="291">
        <v>50</v>
      </c>
      <c r="R342" s="320">
        <v>1000</v>
      </c>
      <c r="S342" s="317">
        <f t="shared" si="22"/>
        <v>50000</v>
      </c>
      <c r="T342" s="291" t="s">
        <v>654</v>
      </c>
    </row>
    <row r="343" spans="13:20">
      <c r="M343" s="48" t="s">
        <v>888</v>
      </c>
      <c r="N343" s="291">
        <v>24</v>
      </c>
      <c r="O343" s="289" t="s">
        <v>619</v>
      </c>
      <c r="P343" s="291" t="s">
        <v>406</v>
      </c>
      <c r="Q343" s="291">
        <v>50</v>
      </c>
      <c r="R343" s="320">
        <v>1000</v>
      </c>
      <c r="S343" s="317">
        <f t="shared" si="22"/>
        <v>50000</v>
      </c>
      <c r="T343" s="291" t="s">
        <v>654</v>
      </c>
    </row>
    <row r="344" spans="13:20">
      <c r="M344" s="48" t="s">
        <v>888</v>
      </c>
      <c r="N344" s="291">
        <v>25</v>
      </c>
      <c r="O344" s="289" t="s">
        <v>620</v>
      </c>
      <c r="P344" s="291" t="s">
        <v>376</v>
      </c>
      <c r="Q344" s="291">
        <v>3</v>
      </c>
      <c r="R344" s="320">
        <v>1000</v>
      </c>
      <c r="S344" s="317">
        <f t="shared" si="22"/>
        <v>3000</v>
      </c>
      <c r="T344" s="291" t="s">
        <v>654</v>
      </c>
    </row>
    <row r="345" spans="13:20">
      <c r="M345" s="48" t="s">
        <v>888</v>
      </c>
      <c r="N345" s="291">
        <v>26</v>
      </c>
      <c r="O345" s="289" t="s">
        <v>621</v>
      </c>
      <c r="P345" s="291" t="s">
        <v>622</v>
      </c>
      <c r="Q345" s="291">
        <v>5</v>
      </c>
      <c r="R345" s="320">
        <v>1000</v>
      </c>
      <c r="S345" s="317">
        <f t="shared" si="22"/>
        <v>5000</v>
      </c>
      <c r="T345" s="291" t="s">
        <v>654</v>
      </c>
    </row>
    <row r="346" spans="13:20">
      <c r="M346" s="48" t="s">
        <v>888</v>
      </c>
      <c r="N346" s="291">
        <v>27</v>
      </c>
      <c r="O346" s="289" t="s">
        <v>623</v>
      </c>
      <c r="P346" s="291" t="s">
        <v>376</v>
      </c>
      <c r="Q346" s="291">
        <v>5</v>
      </c>
      <c r="R346" s="320">
        <v>1000</v>
      </c>
      <c r="S346" s="317">
        <f t="shared" si="22"/>
        <v>5000</v>
      </c>
      <c r="T346" s="291" t="s">
        <v>654</v>
      </c>
    </row>
    <row r="347" spans="13:20">
      <c r="M347" s="48" t="s">
        <v>888</v>
      </c>
      <c r="N347" s="291">
        <v>28</v>
      </c>
      <c r="O347" s="289" t="s">
        <v>624</v>
      </c>
      <c r="P347" s="291" t="s">
        <v>376</v>
      </c>
      <c r="Q347" s="291">
        <v>5</v>
      </c>
      <c r="R347" s="320">
        <v>1000</v>
      </c>
      <c r="S347" s="317">
        <f t="shared" si="22"/>
        <v>5000</v>
      </c>
      <c r="T347" s="291" t="s">
        <v>654</v>
      </c>
    </row>
    <row r="348" spans="13:20">
      <c r="M348" s="48" t="s">
        <v>888</v>
      </c>
      <c r="N348" s="291">
        <v>29</v>
      </c>
      <c r="O348" s="289" t="s">
        <v>464</v>
      </c>
      <c r="P348" s="291" t="s">
        <v>376</v>
      </c>
      <c r="Q348" s="291">
        <v>30</v>
      </c>
      <c r="R348" s="320">
        <v>1000</v>
      </c>
      <c r="S348" s="317">
        <f t="shared" si="22"/>
        <v>30000</v>
      </c>
      <c r="T348" s="291" t="s">
        <v>654</v>
      </c>
    </row>
    <row r="349" spans="13:20">
      <c r="M349" s="48" t="s">
        <v>888</v>
      </c>
      <c r="N349" s="291">
        <v>30</v>
      </c>
      <c r="O349" s="289" t="s">
        <v>392</v>
      </c>
      <c r="P349" s="291" t="s">
        <v>564</v>
      </c>
      <c r="Q349" s="291">
        <v>5</v>
      </c>
      <c r="R349" s="320">
        <v>1000</v>
      </c>
      <c r="S349" s="317">
        <f t="shared" si="22"/>
        <v>5000</v>
      </c>
      <c r="T349" s="291" t="s">
        <v>654</v>
      </c>
    </row>
    <row r="350" spans="13:20">
      <c r="M350" s="48" t="s">
        <v>888</v>
      </c>
      <c r="N350" s="291">
        <v>31</v>
      </c>
      <c r="O350" s="289" t="s">
        <v>625</v>
      </c>
      <c r="P350" s="291" t="s">
        <v>376</v>
      </c>
      <c r="Q350" s="291">
        <v>10</v>
      </c>
      <c r="R350" s="320">
        <v>1000</v>
      </c>
      <c r="S350" s="317">
        <f t="shared" si="22"/>
        <v>10000</v>
      </c>
      <c r="T350" s="291" t="s">
        <v>654</v>
      </c>
    </row>
    <row r="351" spans="13:20">
      <c r="M351" s="48" t="s">
        <v>888</v>
      </c>
      <c r="N351" s="291">
        <v>32</v>
      </c>
      <c r="O351" s="289" t="s">
        <v>389</v>
      </c>
      <c r="P351" s="291" t="s">
        <v>376</v>
      </c>
      <c r="Q351" s="291">
        <v>5</v>
      </c>
      <c r="R351" s="320">
        <v>1000</v>
      </c>
      <c r="S351" s="317">
        <f t="shared" si="22"/>
        <v>5000</v>
      </c>
      <c r="T351" s="291" t="s">
        <v>654</v>
      </c>
    </row>
    <row r="352" spans="13:20" ht="14.25">
      <c r="M352" s="48" t="s">
        <v>888</v>
      </c>
      <c r="N352" s="291">
        <v>33</v>
      </c>
      <c r="O352" s="289" t="s">
        <v>626</v>
      </c>
      <c r="P352" s="291" t="s">
        <v>376</v>
      </c>
      <c r="Q352" s="291">
        <v>5</v>
      </c>
      <c r="R352" s="320">
        <v>1000</v>
      </c>
      <c r="S352" s="317">
        <f t="shared" si="22"/>
        <v>5000</v>
      </c>
      <c r="T352" s="291" t="s">
        <v>654</v>
      </c>
    </row>
    <row r="353" spans="13:20">
      <c r="M353" s="48" t="s">
        <v>888</v>
      </c>
      <c r="N353" s="291">
        <v>34</v>
      </c>
      <c r="O353" s="289" t="s">
        <v>627</v>
      </c>
      <c r="P353" s="291" t="s">
        <v>376</v>
      </c>
      <c r="Q353" s="291">
        <v>30</v>
      </c>
      <c r="R353" s="320">
        <v>1000</v>
      </c>
      <c r="S353" s="317">
        <f t="shared" si="22"/>
        <v>30000</v>
      </c>
      <c r="T353" s="291" t="s">
        <v>654</v>
      </c>
    </row>
    <row r="354" spans="13:20">
      <c r="M354" s="48" t="s">
        <v>888</v>
      </c>
      <c r="N354" s="291">
        <v>35</v>
      </c>
      <c r="O354" s="289" t="s">
        <v>628</v>
      </c>
      <c r="P354" s="291" t="s">
        <v>376</v>
      </c>
      <c r="Q354" s="291">
        <v>10</v>
      </c>
      <c r="R354" s="320">
        <v>1000</v>
      </c>
      <c r="S354" s="317">
        <f t="shared" si="22"/>
        <v>10000</v>
      </c>
      <c r="T354" s="291" t="s">
        <v>654</v>
      </c>
    </row>
    <row r="355" spans="13:20">
      <c r="M355" s="48" t="s">
        <v>888</v>
      </c>
      <c r="N355" s="291">
        <v>36</v>
      </c>
      <c r="O355" s="289" t="s">
        <v>629</v>
      </c>
      <c r="P355" s="291" t="s">
        <v>564</v>
      </c>
      <c r="Q355" s="291">
        <v>10</v>
      </c>
      <c r="R355" s="320">
        <v>1000</v>
      </c>
      <c r="S355" s="317">
        <f t="shared" si="22"/>
        <v>10000</v>
      </c>
      <c r="T355" s="291" t="s">
        <v>372</v>
      </c>
    </row>
    <row r="356" spans="13:20">
      <c r="M356" s="48" t="s">
        <v>888</v>
      </c>
      <c r="N356" s="291">
        <v>37</v>
      </c>
      <c r="O356" s="289" t="s">
        <v>630</v>
      </c>
      <c r="P356" s="291" t="s">
        <v>376</v>
      </c>
      <c r="Q356" s="291">
        <v>30</v>
      </c>
      <c r="R356" s="320">
        <v>1000</v>
      </c>
      <c r="S356" s="317">
        <f t="shared" si="22"/>
        <v>30000</v>
      </c>
      <c r="T356" s="291" t="s">
        <v>654</v>
      </c>
    </row>
    <row r="357" spans="13:20">
      <c r="M357" s="48" t="s">
        <v>888</v>
      </c>
      <c r="N357" s="291">
        <v>38</v>
      </c>
      <c r="O357" s="289" t="s">
        <v>631</v>
      </c>
      <c r="P357" s="291" t="s">
        <v>376</v>
      </c>
      <c r="Q357" s="291">
        <v>5</v>
      </c>
      <c r="R357" s="320">
        <v>1000</v>
      </c>
      <c r="S357" s="317">
        <f t="shared" si="22"/>
        <v>5000</v>
      </c>
      <c r="T357" s="291" t="s">
        <v>654</v>
      </c>
    </row>
    <row r="358" spans="13:20">
      <c r="M358" s="48" t="s">
        <v>888</v>
      </c>
      <c r="N358" s="291">
        <v>39</v>
      </c>
      <c r="O358" s="289" t="s">
        <v>632</v>
      </c>
      <c r="P358" s="291" t="s">
        <v>633</v>
      </c>
      <c r="Q358" s="291">
        <v>5</v>
      </c>
      <c r="R358" s="320">
        <v>1000</v>
      </c>
      <c r="S358" s="317">
        <f t="shared" si="22"/>
        <v>5000</v>
      </c>
      <c r="T358" s="291" t="s">
        <v>654</v>
      </c>
    </row>
    <row r="359" spans="13:20">
      <c r="M359" s="48" t="s">
        <v>888</v>
      </c>
      <c r="N359" s="291">
        <v>40</v>
      </c>
      <c r="O359" s="289" t="s">
        <v>634</v>
      </c>
      <c r="P359" s="291" t="s">
        <v>376</v>
      </c>
      <c r="Q359" s="291">
        <v>5</v>
      </c>
      <c r="R359" s="320">
        <v>1000</v>
      </c>
      <c r="S359" s="317">
        <f t="shared" si="22"/>
        <v>5000</v>
      </c>
      <c r="T359" s="291" t="s">
        <v>654</v>
      </c>
    </row>
    <row r="360" spans="13:20">
      <c r="M360" s="48" t="s">
        <v>888</v>
      </c>
      <c r="N360" s="291">
        <v>41</v>
      </c>
      <c r="O360" s="289" t="s">
        <v>635</v>
      </c>
      <c r="P360" s="291" t="s">
        <v>564</v>
      </c>
      <c r="Q360" s="291">
        <v>5</v>
      </c>
      <c r="R360" s="320">
        <v>1000</v>
      </c>
      <c r="S360" s="317">
        <f t="shared" si="22"/>
        <v>5000</v>
      </c>
      <c r="T360" s="291" t="s">
        <v>654</v>
      </c>
    </row>
    <row r="361" spans="13:20">
      <c r="M361" s="48" t="s">
        <v>888</v>
      </c>
      <c r="N361" s="291">
        <v>42</v>
      </c>
      <c r="O361" s="289" t="s">
        <v>636</v>
      </c>
      <c r="P361" s="291" t="s">
        <v>376</v>
      </c>
      <c r="Q361" s="291">
        <v>4</v>
      </c>
      <c r="R361" s="320">
        <v>1000</v>
      </c>
      <c r="S361" s="317">
        <f t="shared" si="22"/>
        <v>4000</v>
      </c>
      <c r="T361" s="291" t="s">
        <v>654</v>
      </c>
    </row>
    <row r="362" spans="13:20">
      <c r="M362" s="48" t="s">
        <v>888</v>
      </c>
      <c r="N362" s="291">
        <v>43</v>
      </c>
      <c r="O362" s="289" t="s">
        <v>637</v>
      </c>
      <c r="P362" s="291" t="s">
        <v>633</v>
      </c>
      <c r="Q362" s="291">
        <v>5</v>
      </c>
      <c r="R362" s="320">
        <v>1000</v>
      </c>
      <c r="S362" s="317">
        <f t="shared" si="22"/>
        <v>5000</v>
      </c>
      <c r="T362" s="291" t="s">
        <v>656</v>
      </c>
    </row>
    <row r="363" spans="13:20">
      <c r="M363" s="48" t="s">
        <v>888</v>
      </c>
      <c r="N363" s="291">
        <v>44</v>
      </c>
      <c r="O363" s="289" t="s">
        <v>638</v>
      </c>
      <c r="P363" s="291" t="s">
        <v>376</v>
      </c>
      <c r="Q363" s="291">
        <v>1</v>
      </c>
      <c r="R363" s="320">
        <v>1000</v>
      </c>
      <c r="S363" s="317">
        <f t="shared" si="22"/>
        <v>1000</v>
      </c>
      <c r="T363" s="291" t="s">
        <v>656</v>
      </c>
    </row>
    <row r="364" spans="13:20" ht="14.25">
      <c r="M364" s="48" t="s">
        <v>888</v>
      </c>
      <c r="N364" s="291">
        <v>45</v>
      </c>
      <c r="O364" s="289" t="s">
        <v>380</v>
      </c>
      <c r="P364" s="291" t="s">
        <v>376</v>
      </c>
      <c r="Q364" s="291">
        <v>100</v>
      </c>
      <c r="R364" s="320">
        <v>1000</v>
      </c>
      <c r="S364" s="317">
        <f t="shared" si="22"/>
        <v>100000</v>
      </c>
      <c r="T364" s="291" t="s">
        <v>372</v>
      </c>
    </row>
    <row r="365" spans="13:20">
      <c r="M365" s="48" t="s">
        <v>888</v>
      </c>
      <c r="N365" s="291">
        <v>46</v>
      </c>
      <c r="O365" s="289" t="s">
        <v>639</v>
      </c>
      <c r="P365" s="291" t="s">
        <v>376</v>
      </c>
      <c r="Q365" s="291">
        <v>3</v>
      </c>
      <c r="R365" s="320">
        <v>1000</v>
      </c>
      <c r="S365" s="317">
        <f t="shared" si="22"/>
        <v>3000</v>
      </c>
      <c r="T365" s="291" t="s">
        <v>655</v>
      </c>
    </row>
    <row r="366" spans="13:20">
      <c r="M366" s="48" t="s">
        <v>888</v>
      </c>
      <c r="N366" s="291">
        <v>47</v>
      </c>
      <c r="O366" s="289" t="s">
        <v>640</v>
      </c>
      <c r="P366" s="291" t="s">
        <v>401</v>
      </c>
      <c r="Q366" s="291">
        <v>1</v>
      </c>
      <c r="R366" s="320">
        <v>1000</v>
      </c>
      <c r="S366" s="317">
        <f t="shared" si="22"/>
        <v>1000</v>
      </c>
      <c r="T366" s="291" t="s">
        <v>654</v>
      </c>
    </row>
    <row r="367" spans="13:20">
      <c r="M367" s="48" t="s">
        <v>888</v>
      </c>
      <c r="N367" s="291">
        <v>48</v>
      </c>
      <c r="O367" s="289" t="s">
        <v>641</v>
      </c>
      <c r="P367" s="291" t="s">
        <v>401</v>
      </c>
      <c r="Q367" s="291">
        <v>35</v>
      </c>
      <c r="R367" s="320">
        <v>1000</v>
      </c>
      <c r="S367" s="317">
        <f t="shared" si="22"/>
        <v>35000</v>
      </c>
      <c r="T367" s="291" t="s">
        <v>654</v>
      </c>
    </row>
    <row r="368" spans="13:20" ht="25.5">
      <c r="M368" s="48" t="s">
        <v>888</v>
      </c>
      <c r="N368" s="291">
        <v>49</v>
      </c>
      <c r="O368" s="289" t="s">
        <v>642</v>
      </c>
      <c r="P368" s="291" t="s">
        <v>643</v>
      </c>
      <c r="Q368" s="291"/>
      <c r="R368" s="320">
        <v>1000</v>
      </c>
      <c r="S368" s="317">
        <f t="shared" si="22"/>
        <v>0</v>
      </c>
      <c r="T368" s="291" t="s">
        <v>654</v>
      </c>
    </row>
    <row r="369" spans="13:20" ht="25.5">
      <c r="M369" s="48" t="s">
        <v>888</v>
      </c>
      <c r="N369" s="291">
        <v>50</v>
      </c>
      <c r="O369" s="289" t="s">
        <v>644</v>
      </c>
      <c r="P369" s="291" t="s">
        <v>645</v>
      </c>
      <c r="Q369" s="291">
        <v>1</v>
      </c>
      <c r="R369" s="320">
        <v>1000</v>
      </c>
      <c r="S369" s="317">
        <f t="shared" si="22"/>
        <v>1000</v>
      </c>
      <c r="T369" s="291" t="s">
        <v>372</v>
      </c>
    </row>
    <row r="370" spans="13:20" ht="25.5">
      <c r="M370" s="48" t="s">
        <v>888</v>
      </c>
      <c r="N370" s="291">
        <v>51</v>
      </c>
      <c r="O370" s="289" t="s">
        <v>646</v>
      </c>
      <c r="P370" s="291" t="s">
        <v>645</v>
      </c>
      <c r="Q370" s="291">
        <v>1</v>
      </c>
      <c r="R370" s="320">
        <v>1000</v>
      </c>
      <c r="S370" s="317">
        <f t="shared" si="22"/>
        <v>1000</v>
      </c>
      <c r="T370" s="291" t="s">
        <v>655</v>
      </c>
    </row>
    <row r="371" spans="13:20" ht="25.5">
      <c r="M371" s="48" t="s">
        <v>888</v>
      </c>
      <c r="N371" s="291">
        <v>52</v>
      </c>
      <c r="O371" s="289" t="s">
        <v>647</v>
      </c>
      <c r="P371" s="291" t="s">
        <v>648</v>
      </c>
      <c r="Q371" s="291">
        <v>1</v>
      </c>
      <c r="R371" s="320">
        <v>1000</v>
      </c>
      <c r="S371" s="317">
        <f t="shared" si="22"/>
        <v>1000</v>
      </c>
      <c r="T371" s="291" t="s">
        <v>655</v>
      </c>
    </row>
    <row r="372" spans="13:20">
      <c r="M372" s="48" t="s">
        <v>888</v>
      </c>
      <c r="N372" s="291">
        <v>53</v>
      </c>
      <c r="O372" s="289" t="s">
        <v>649</v>
      </c>
      <c r="P372" s="291" t="s">
        <v>648</v>
      </c>
      <c r="Q372" s="291">
        <v>1</v>
      </c>
      <c r="R372" s="320">
        <v>1000</v>
      </c>
      <c r="S372" s="317">
        <f t="shared" si="22"/>
        <v>1000</v>
      </c>
      <c r="T372" s="291" t="s">
        <v>655</v>
      </c>
    </row>
    <row r="373" spans="13:20">
      <c r="M373" s="48" t="s">
        <v>888</v>
      </c>
      <c r="N373" s="291">
        <v>54</v>
      </c>
      <c r="O373" s="289" t="s">
        <v>650</v>
      </c>
      <c r="P373" s="291" t="s">
        <v>648</v>
      </c>
      <c r="Q373" s="291">
        <v>1</v>
      </c>
      <c r="R373" s="320">
        <v>1000</v>
      </c>
      <c r="S373" s="317">
        <f t="shared" si="22"/>
        <v>1000</v>
      </c>
      <c r="T373" s="291" t="s">
        <v>655</v>
      </c>
    </row>
    <row r="374" spans="13:20" ht="25.5">
      <c r="M374" s="48" t="s">
        <v>888</v>
      </c>
      <c r="N374" s="291">
        <v>55</v>
      </c>
      <c r="O374" s="289" t="s">
        <v>651</v>
      </c>
      <c r="P374" s="291" t="s">
        <v>401</v>
      </c>
      <c r="Q374" s="291">
        <v>1</v>
      </c>
      <c r="R374" s="320">
        <v>1000</v>
      </c>
      <c r="S374" s="317">
        <f t="shared" si="22"/>
        <v>1000</v>
      </c>
      <c r="T374" s="291" t="s">
        <v>655</v>
      </c>
    </row>
    <row r="375" spans="13:20">
      <c r="M375" s="48" t="s">
        <v>888</v>
      </c>
      <c r="N375" s="454">
        <v>56</v>
      </c>
      <c r="O375" s="289" t="s">
        <v>652</v>
      </c>
      <c r="P375" s="291" t="s">
        <v>401</v>
      </c>
      <c r="Q375" s="291">
        <v>1</v>
      </c>
      <c r="R375" s="320">
        <v>1000</v>
      </c>
      <c r="S375" s="317">
        <f t="shared" si="22"/>
        <v>1000</v>
      </c>
      <c r="T375" s="291" t="s">
        <v>655</v>
      </c>
    </row>
    <row r="376" spans="13:20">
      <c r="M376" s="48" t="s">
        <v>1121</v>
      </c>
      <c r="N376" s="454">
        <v>57</v>
      </c>
      <c r="O376" s="48" t="s">
        <v>1032</v>
      </c>
      <c r="P376" s="48" t="s">
        <v>376</v>
      </c>
      <c r="Q376" s="48">
        <v>2</v>
      </c>
      <c r="R376" s="320">
        <v>1000</v>
      </c>
      <c r="S376" s="317">
        <f t="shared" ref="S376:S439" si="23">R376*Q376</f>
        <v>2000</v>
      </c>
    </row>
    <row r="377" spans="13:20">
      <c r="M377" s="48" t="s">
        <v>1121</v>
      </c>
      <c r="N377" s="454">
        <v>58</v>
      </c>
      <c r="O377" s="48" t="s">
        <v>1033</v>
      </c>
      <c r="P377" s="48" t="s">
        <v>376</v>
      </c>
      <c r="Q377" s="48">
        <v>1</v>
      </c>
      <c r="R377" s="320">
        <v>1000</v>
      </c>
      <c r="S377" s="317">
        <f t="shared" si="23"/>
        <v>1000</v>
      </c>
    </row>
    <row r="378" spans="13:20">
      <c r="M378" s="48" t="s">
        <v>1121</v>
      </c>
      <c r="N378" s="454">
        <v>59</v>
      </c>
      <c r="O378" s="48" t="s">
        <v>1034</v>
      </c>
      <c r="P378" s="48" t="s">
        <v>376</v>
      </c>
      <c r="Q378" s="48">
        <v>2</v>
      </c>
      <c r="R378" s="320">
        <v>1000</v>
      </c>
      <c r="S378" s="317">
        <f t="shared" si="23"/>
        <v>2000</v>
      </c>
    </row>
    <row r="379" spans="13:20">
      <c r="M379" s="48" t="s">
        <v>1121</v>
      </c>
      <c r="N379" s="454">
        <v>60</v>
      </c>
      <c r="O379" s="48" t="s">
        <v>1035</v>
      </c>
      <c r="P379" s="48" t="s">
        <v>376</v>
      </c>
      <c r="Q379" s="48">
        <v>50</v>
      </c>
      <c r="R379" s="320">
        <v>1000</v>
      </c>
      <c r="S379" s="317">
        <f t="shared" si="23"/>
        <v>50000</v>
      </c>
    </row>
    <row r="380" spans="13:20">
      <c r="M380" s="48" t="s">
        <v>1121</v>
      </c>
      <c r="N380" s="454">
        <v>61</v>
      </c>
      <c r="O380" s="48" t="s">
        <v>1036</v>
      </c>
      <c r="P380" s="48" t="s">
        <v>376</v>
      </c>
      <c r="Q380" s="48">
        <v>6</v>
      </c>
      <c r="R380" s="320">
        <v>1000</v>
      </c>
      <c r="S380" s="317">
        <f t="shared" si="23"/>
        <v>6000</v>
      </c>
    </row>
    <row r="381" spans="13:20">
      <c r="M381" s="48" t="s">
        <v>1121</v>
      </c>
      <c r="N381" s="454">
        <v>62</v>
      </c>
      <c r="O381" s="48" t="s">
        <v>1037</v>
      </c>
      <c r="P381" s="48" t="s">
        <v>1038</v>
      </c>
      <c r="Q381" s="48">
        <v>1</v>
      </c>
      <c r="R381" s="320">
        <v>1000</v>
      </c>
      <c r="S381" s="317">
        <f t="shared" si="23"/>
        <v>1000</v>
      </c>
    </row>
    <row r="382" spans="13:20">
      <c r="M382" s="48" t="s">
        <v>1121</v>
      </c>
      <c r="N382" s="454">
        <v>63</v>
      </c>
      <c r="O382" s="48" t="s">
        <v>1039</v>
      </c>
      <c r="P382" s="48" t="s">
        <v>376</v>
      </c>
      <c r="Q382" s="48">
        <v>1</v>
      </c>
      <c r="R382" s="320">
        <v>1000</v>
      </c>
      <c r="S382" s="317">
        <f t="shared" si="23"/>
        <v>1000</v>
      </c>
    </row>
    <row r="383" spans="13:20">
      <c r="M383" s="48" t="s">
        <v>1121</v>
      </c>
      <c r="N383" s="454">
        <v>64</v>
      </c>
      <c r="O383" s="48" t="s">
        <v>1040</v>
      </c>
      <c r="P383" s="48" t="s">
        <v>376</v>
      </c>
      <c r="Q383" s="48">
        <v>1</v>
      </c>
      <c r="R383" s="320">
        <v>1000</v>
      </c>
      <c r="S383" s="317">
        <f t="shared" si="23"/>
        <v>1000</v>
      </c>
    </row>
    <row r="384" spans="13:20">
      <c r="M384" s="48" t="s">
        <v>1121</v>
      </c>
      <c r="N384" s="454">
        <v>65</v>
      </c>
      <c r="O384" s="48" t="s">
        <v>1041</v>
      </c>
      <c r="P384" s="48" t="s">
        <v>376</v>
      </c>
      <c r="Q384" s="48">
        <v>5</v>
      </c>
      <c r="R384" s="320">
        <v>1000</v>
      </c>
      <c r="S384" s="317">
        <f t="shared" si="23"/>
        <v>5000</v>
      </c>
    </row>
    <row r="385" spans="13:19">
      <c r="M385" s="48" t="s">
        <v>1121</v>
      </c>
      <c r="N385" s="454">
        <v>66</v>
      </c>
      <c r="O385" s="48" t="s">
        <v>388</v>
      </c>
      <c r="P385" s="48" t="s">
        <v>376</v>
      </c>
      <c r="Q385" s="48">
        <v>1</v>
      </c>
      <c r="R385" s="320">
        <v>1000</v>
      </c>
      <c r="S385" s="317">
        <f t="shared" si="23"/>
        <v>1000</v>
      </c>
    </row>
    <row r="386" spans="13:19">
      <c r="M386" s="48" t="s">
        <v>1121</v>
      </c>
      <c r="N386" s="454">
        <v>67</v>
      </c>
      <c r="O386" s="48" t="s">
        <v>1042</v>
      </c>
      <c r="P386" s="48" t="s">
        <v>1038</v>
      </c>
      <c r="Q386" s="48">
        <v>12</v>
      </c>
      <c r="R386" s="320">
        <v>1000</v>
      </c>
      <c r="S386" s="317">
        <f t="shared" si="23"/>
        <v>12000</v>
      </c>
    </row>
    <row r="387" spans="13:19">
      <c r="M387" s="48" t="s">
        <v>1121</v>
      </c>
      <c r="N387" s="454">
        <v>68</v>
      </c>
      <c r="O387" s="48" t="s">
        <v>1043</v>
      </c>
      <c r="P387" s="48" t="s">
        <v>376</v>
      </c>
      <c r="Q387" s="48">
        <v>1</v>
      </c>
      <c r="R387" s="320">
        <v>1000</v>
      </c>
      <c r="S387" s="317">
        <f t="shared" si="23"/>
        <v>1000</v>
      </c>
    </row>
    <row r="388" spans="13:19">
      <c r="M388" s="48" t="s">
        <v>1121</v>
      </c>
      <c r="N388" s="454">
        <v>69</v>
      </c>
      <c r="O388" s="48" t="s">
        <v>1044</v>
      </c>
      <c r="R388" s="320">
        <v>1000</v>
      </c>
      <c r="S388" s="317">
        <f t="shared" si="23"/>
        <v>0</v>
      </c>
    </row>
    <row r="389" spans="13:19">
      <c r="M389" s="48" t="s">
        <v>1121</v>
      </c>
      <c r="N389" s="454">
        <v>70</v>
      </c>
      <c r="O389" s="48" t="s">
        <v>1045</v>
      </c>
      <c r="P389" s="48" t="s">
        <v>376</v>
      </c>
      <c r="Q389" s="48">
        <v>1</v>
      </c>
      <c r="R389" s="320">
        <v>1000</v>
      </c>
      <c r="S389" s="317">
        <f t="shared" si="23"/>
        <v>1000</v>
      </c>
    </row>
    <row r="390" spans="13:19">
      <c r="M390" s="48" t="s">
        <v>1121</v>
      </c>
      <c r="N390" s="454">
        <v>71</v>
      </c>
      <c r="O390" s="48" t="s">
        <v>1046</v>
      </c>
      <c r="P390" s="48" t="s">
        <v>376</v>
      </c>
      <c r="Q390" s="48">
        <v>1</v>
      </c>
      <c r="R390" s="320">
        <v>1000</v>
      </c>
      <c r="S390" s="317">
        <f t="shared" si="23"/>
        <v>1000</v>
      </c>
    </row>
    <row r="391" spans="13:19">
      <c r="M391" s="48" t="s">
        <v>1121</v>
      </c>
      <c r="N391" s="454">
        <v>72</v>
      </c>
      <c r="O391" s="48" t="s">
        <v>1047</v>
      </c>
      <c r="P391" s="48" t="s">
        <v>376</v>
      </c>
      <c r="Q391" s="48">
        <v>5</v>
      </c>
      <c r="R391" s="320">
        <v>1000</v>
      </c>
      <c r="S391" s="317">
        <f t="shared" si="23"/>
        <v>5000</v>
      </c>
    </row>
    <row r="392" spans="13:19">
      <c r="M392" s="48" t="s">
        <v>1121</v>
      </c>
      <c r="N392" s="454">
        <v>73</v>
      </c>
      <c r="O392" s="48" t="s">
        <v>1048</v>
      </c>
      <c r="R392" s="320">
        <v>1000</v>
      </c>
      <c r="S392" s="317">
        <f t="shared" si="23"/>
        <v>0</v>
      </c>
    </row>
    <row r="393" spans="13:19">
      <c r="M393" s="48" t="s">
        <v>1121</v>
      </c>
      <c r="N393" s="454">
        <v>74</v>
      </c>
      <c r="O393" s="48" t="s">
        <v>1049</v>
      </c>
      <c r="P393" s="48" t="s">
        <v>564</v>
      </c>
      <c r="Q393" s="48">
        <v>12</v>
      </c>
      <c r="R393" s="320">
        <v>1000</v>
      </c>
      <c r="S393" s="317">
        <f t="shared" si="23"/>
        <v>12000</v>
      </c>
    </row>
    <row r="394" spans="13:19">
      <c r="M394" s="48" t="s">
        <v>1121</v>
      </c>
      <c r="N394" s="454">
        <v>75</v>
      </c>
      <c r="O394" s="48" t="s">
        <v>1050</v>
      </c>
      <c r="R394" s="320">
        <v>1000</v>
      </c>
      <c r="S394" s="317">
        <f t="shared" si="23"/>
        <v>0</v>
      </c>
    </row>
    <row r="395" spans="13:19">
      <c r="M395" s="48" t="s">
        <v>1121</v>
      </c>
      <c r="N395" s="454">
        <v>76</v>
      </c>
      <c r="O395" s="48" t="s">
        <v>1051</v>
      </c>
      <c r="P395" s="48" t="s">
        <v>376</v>
      </c>
      <c r="Q395" s="48">
        <v>20</v>
      </c>
      <c r="R395" s="320">
        <v>1000</v>
      </c>
      <c r="S395" s="317">
        <f t="shared" si="23"/>
        <v>20000</v>
      </c>
    </row>
    <row r="396" spans="13:19">
      <c r="M396" s="48" t="s">
        <v>1121</v>
      </c>
      <c r="N396" s="454">
        <v>77</v>
      </c>
      <c r="O396" s="48" t="s">
        <v>1052</v>
      </c>
      <c r="P396" s="48" t="s">
        <v>376</v>
      </c>
      <c r="Q396" s="48">
        <v>30</v>
      </c>
      <c r="R396" s="320">
        <v>1000</v>
      </c>
      <c r="S396" s="317">
        <f t="shared" si="23"/>
        <v>30000</v>
      </c>
    </row>
    <row r="397" spans="13:19">
      <c r="M397" s="48" t="s">
        <v>1121</v>
      </c>
      <c r="N397" s="454">
        <v>78</v>
      </c>
      <c r="O397" s="48" t="s">
        <v>1053</v>
      </c>
      <c r="P397" s="48" t="s">
        <v>376</v>
      </c>
      <c r="Q397" s="48">
        <v>6</v>
      </c>
      <c r="R397" s="320">
        <v>1000</v>
      </c>
      <c r="S397" s="317">
        <f t="shared" si="23"/>
        <v>6000</v>
      </c>
    </row>
    <row r="398" spans="13:19">
      <c r="M398" s="48" t="s">
        <v>1121</v>
      </c>
      <c r="N398" s="454">
        <v>79</v>
      </c>
      <c r="O398" s="48" t="s">
        <v>1054</v>
      </c>
      <c r="P398" s="48" t="s">
        <v>376</v>
      </c>
      <c r="Q398" s="48">
        <v>10</v>
      </c>
      <c r="R398" s="320">
        <v>1000</v>
      </c>
      <c r="S398" s="317">
        <f t="shared" si="23"/>
        <v>10000</v>
      </c>
    </row>
    <row r="399" spans="13:19">
      <c r="M399" s="48" t="s">
        <v>1121</v>
      </c>
      <c r="N399" s="454">
        <v>80</v>
      </c>
      <c r="O399" s="48" t="s">
        <v>1055</v>
      </c>
      <c r="R399" s="320">
        <v>1000</v>
      </c>
      <c r="S399" s="317">
        <f t="shared" si="23"/>
        <v>0</v>
      </c>
    </row>
    <row r="400" spans="13:19">
      <c r="M400" s="48" t="s">
        <v>1121</v>
      </c>
      <c r="N400" s="454">
        <v>81</v>
      </c>
      <c r="O400" s="48" t="s">
        <v>384</v>
      </c>
      <c r="P400" s="48" t="s">
        <v>376</v>
      </c>
      <c r="Q400" s="48">
        <v>15</v>
      </c>
      <c r="R400" s="320">
        <v>1000</v>
      </c>
      <c r="S400" s="317">
        <f t="shared" si="23"/>
        <v>15000</v>
      </c>
    </row>
    <row r="401" spans="13:27">
      <c r="M401" s="48" t="s">
        <v>1121</v>
      </c>
      <c r="N401" s="454">
        <v>82</v>
      </c>
      <c r="O401" s="48" t="s">
        <v>1056</v>
      </c>
      <c r="P401" s="48" t="s">
        <v>376</v>
      </c>
      <c r="Q401" s="48">
        <v>15</v>
      </c>
      <c r="R401" s="320">
        <v>1000</v>
      </c>
      <c r="S401" s="317">
        <f t="shared" si="23"/>
        <v>15000</v>
      </c>
    </row>
    <row r="402" spans="13:27">
      <c r="M402" s="48" t="s">
        <v>1121</v>
      </c>
      <c r="N402" s="454">
        <v>83</v>
      </c>
      <c r="O402" s="48" t="s">
        <v>1057</v>
      </c>
      <c r="P402" s="48" t="s">
        <v>376</v>
      </c>
      <c r="Q402" s="48">
        <v>4</v>
      </c>
      <c r="R402" s="320">
        <v>1000</v>
      </c>
      <c r="S402" s="317">
        <f t="shared" si="23"/>
        <v>4000</v>
      </c>
    </row>
    <row r="403" spans="13:27" ht="21.75" customHeight="1">
      <c r="M403" s="48" t="s">
        <v>1121</v>
      </c>
      <c r="N403" s="454">
        <v>84</v>
      </c>
      <c r="O403" s="48" t="s">
        <v>1058</v>
      </c>
      <c r="P403" s="48" t="s">
        <v>376</v>
      </c>
      <c r="Q403" s="48">
        <v>2</v>
      </c>
      <c r="R403" s="320">
        <v>1000</v>
      </c>
      <c r="S403" s="317">
        <f t="shared" si="23"/>
        <v>2000</v>
      </c>
      <c r="Y403" s="48" t="s">
        <v>760</v>
      </c>
      <c r="AA403" s="48">
        <v>6</v>
      </c>
    </row>
    <row r="404" spans="13:27">
      <c r="M404" s="48" t="s">
        <v>1121</v>
      </c>
      <c r="N404" s="454">
        <v>85</v>
      </c>
      <c r="O404" s="48" t="s">
        <v>413</v>
      </c>
      <c r="P404" s="48" t="s">
        <v>376</v>
      </c>
      <c r="Q404" s="48">
        <v>2</v>
      </c>
      <c r="R404" s="320">
        <v>1000</v>
      </c>
      <c r="S404" s="317">
        <f t="shared" si="23"/>
        <v>2000</v>
      </c>
      <c r="Y404" s="48" t="s">
        <v>762</v>
      </c>
      <c r="AA404" s="48">
        <v>2</v>
      </c>
    </row>
    <row r="405" spans="13:27">
      <c r="M405" s="48" t="s">
        <v>1121</v>
      </c>
      <c r="N405" s="454">
        <v>86</v>
      </c>
      <c r="O405" s="48" t="s">
        <v>1059</v>
      </c>
      <c r="P405" s="48" t="s">
        <v>376</v>
      </c>
      <c r="Q405" s="48">
        <v>2</v>
      </c>
      <c r="R405" s="320">
        <v>1000</v>
      </c>
      <c r="S405" s="317">
        <f t="shared" si="23"/>
        <v>2000</v>
      </c>
      <c r="Y405" s="48" t="s">
        <v>763</v>
      </c>
      <c r="AA405" s="48">
        <v>2</v>
      </c>
    </row>
    <row r="406" spans="13:27">
      <c r="M406" s="48" t="s">
        <v>1121</v>
      </c>
      <c r="N406" s="454">
        <v>87</v>
      </c>
      <c r="O406" s="48" t="s">
        <v>1060</v>
      </c>
      <c r="P406" s="48" t="s">
        <v>376</v>
      </c>
      <c r="Q406" s="48">
        <v>2</v>
      </c>
      <c r="R406" s="320">
        <v>1000</v>
      </c>
      <c r="S406" s="317">
        <f t="shared" si="23"/>
        <v>2000</v>
      </c>
      <c r="Y406" s="48" t="s">
        <v>761</v>
      </c>
      <c r="AA406" s="48">
        <v>4</v>
      </c>
    </row>
    <row r="407" spans="13:27">
      <c r="M407" s="48" t="s">
        <v>1121</v>
      </c>
      <c r="N407" s="454">
        <v>88</v>
      </c>
      <c r="O407" s="48" t="s">
        <v>393</v>
      </c>
      <c r="P407" s="48" t="s">
        <v>376</v>
      </c>
      <c r="Q407" s="48">
        <v>2</v>
      </c>
      <c r="R407" s="320">
        <v>1000</v>
      </c>
      <c r="S407" s="317">
        <f t="shared" si="23"/>
        <v>2000</v>
      </c>
    </row>
    <row r="408" spans="13:27">
      <c r="M408" s="48" t="s">
        <v>1121</v>
      </c>
      <c r="N408" s="454">
        <v>89</v>
      </c>
      <c r="O408" s="48" t="s">
        <v>1061</v>
      </c>
      <c r="P408" s="48" t="s">
        <v>376</v>
      </c>
      <c r="Q408" s="48">
        <v>1</v>
      </c>
      <c r="R408" s="320">
        <v>1000</v>
      </c>
      <c r="S408" s="317">
        <f t="shared" si="23"/>
        <v>1000</v>
      </c>
    </row>
    <row r="409" spans="13:27">
      <c r="M409" s="48" t="s">
        <v>1121</v>
      </c>
      <c r="N409" s="454">
        <v>90</v>
      </c>
      <c r="O409" s="48" t="s">
        <v>1062</v>
      </c>
      <c r="P409" s="48" t="s">
        <v>376</v>
      </c>
      <c r="Q409" s="48">
        <v>1</v>
      </c>
      <c r="R409" s="320">
        <v>1000</v>
      </c>
      <c r="S409" s="317">
        <f t="shared" si="23"/>
        <v>1000</v>
      </c>
    </row>
    <row r="410" spans="13:27">
      <c r="M410" s="48" t="s">
        <v>1121</v>
      </c>
      <c r="N410" s="454">
        <v>91</v>
      </c>
      <c r="O410" s="48" t="s">
        <v>1063</v>
      </c>
      <c r="P410" s="48" t="s">
        <v>376</v>
      </c>
      <c r="Q410" s="48">
        <v>2</v>
      </c>
      <c r="R410" s="320">
        <v>1000</v>
      </c>
      <c r="S410" s="317">
        <f t="shared" si="23"/>
        <v>2000</v>
      </c>
    </row>
    <row r="411" spans="13:27">
      <c r="M411" s="48" t="s">
        <v>1121</v>
      </c>
      <c r="N411" s="454">
        <v>92</v>
      </c>
      <c r="O411" s="48" t="s">
        <v>1064</v>
      </c>
      <c r="P411" s="48" t="s">
        <v>376</v>
      </c>
      <c r="Q411" s="48">
        <v>2</v>
      </c>
      <c r="R411" s="320">
        <v>1000</v>
      </c>
      <c r="S411" s="317">
        <f t="shared" si="23"/>
        <v>2000</v>
      </c>
    </row>
    <row r="412" spans="13:27">
      <c r="M412" s="48" t="s">
        <v>1121</v>
      </c>
      <c r="N412" s="454">
        <v>93</v>
      </c>
      <c r="O412" s="48" t="s">
        <v>1065</v>
      </c>
      <c r="P412" s="48" t="s">
        <v>406</v>
      </c>
      <c r="Q412" s="48">
        <v>2</v>
      </c>
      <c r="R412" s="320">
        <v>1000</v>
      </c>
      <c r="S412" s="317">
        <f t="shared" si="23"/>
        <v>2000</v>
      </c>
    </row>
    <row r="413" spans="13:27">
      <c r="M413" s="48" t="s">
        <v>1121</v>
      </c>
      <c r="N413" s="454">
        <v>94</v>
      </c>
      <c r="O413" s="48" t="s">
        <v>1066</v>
      </c>
      <c r="R413" s="320">
        <v>1000</v>
      </c>
      <c r="S413" s="317">
        <f t="shared" si="23"/>
        <v>0</v>
      </c>
    </row>
    <row r="414" spans="13:27">
      <c r="M414" s="48" t="s">
        <v>1121</v>
      </c>
      <c r="N414" s="454">
        <v>95</v>
      </c>
      <c r="O414" s="48" t="s">
        <v>1067</v>
      </c>
      <c r="P414" s="48" t="s">
        <v>1038</v>
      </c>
      <c r="Q414" s="48">
        <v>2</v>
      </c>
      <c r="R414" s="320">
        <v>1000</v>
      </c>
      <c r="S414" s="317">
        <f t="shared" si="23"/>
        <v>2000</v>
      </c>
    </row>
    <row r="415" spans="13:27">
      <c r="M415" s="48" t="s">
        <v>1121</v>
      </c>
      <c r="N415" s="454">
        <v>96</v>
      </c>
      <c r="O415" s="48" t="s">
        <v>1068</v>
      </c>
      <c r="P415" s="48" t="s">
        <v>376</v>
      </c>
      <c r="Q415" s="48">
        <v>1</v>
      </c>
      <c r="R415" s="320">
        <v>1000</v>
      </c>
      <c r="S415" s="317">
        <f t="shared" si="23"/>
        <v>1000</v>
      </c>
    </row>
    <row r="416" spans="13:27">
      <c r="M416" s="48" t="s">
        <v>1121</v>
      </c>
      <c r="N416" s="454">
        <v>97</v>
      </c>
      <c r="O416" s="48" t="s">
        <v>1058</v>
      </c>
      <c r="P416" s="48" t="s">
        <v>376</v>
      </c>
      <c r="Q416" s="48">
        <v>1</v>
      </c>
      <c r="R416" s="320">
        <v>1000</v>
      </c>
      <c r="S416" s="317">
        <f t="shared" si="23"/>
        <v>1000</v>
      </c>
    </row>
    <row r="417" spans="13:19">
      <c r="M417" s="48" t="s">
        <v>1121</v>
      </c>
      <c r="N417" s="454">
        <v>98</v>
      </c>
      <c r="O417" s="48" t="s">
        <v>413</v>
      </c>
      <c r="P417" s="48" t="s">
        <v>376</v>
      </c>
      <c r="Q417" s="48">
        <v>1</v>
      </c>
      <c r="R417" s="320">
        <v>1000</v>
      </c>
      <c r="S417" s="317">
        <f t="shared" si="23"/>
        <v>1000</v>
      </c>
    </row>
    <row r="418" spans="13:19">
      <c r="M418" s="48" t="s">
        <v>1121</v>
      </c>
      <c r="N418" s="454">
        <v>99</v>
      </c>
      <c r="O418" s="48" t="s">
        <v>1069</v>
      </c>
      <c r="P418" s="48" t="s">
        <v>376</v>
      </c>
      <c r="Q418" s="48">
        <v>1</v>
      </c>
      <c r="R418" s="320">
        <v>1000</v>
      </c>
      <c r="S418" s="317">
        <f t="shared" si="23"/>
        <v>1000</v>
      </c>
    </row>
    <row r="419" spans="13:19">
      <c r="M419" s="48" t="s">
        <v>1121</v>
      </c>
      <c r="N419" s="454">
        <v>100</v>
      </c>
      <c r="O419" s="48" t="s">
        <v>1070</v>
      </c>
      <c r="P419" s="48" t="s">
        <v>406</v>
      </c>
      <c r="Q419" s="48">
        <v>2</v>
      </c>
      <c r="R419" s="320">
        <v>1000</v>
      </c>
      <c r="S419" s="317">
        <f t="shared" si="23"/>
        <v>2000</v>
      </c>
    </row>
    <row r="420" spans="13:19">
      <c r="M420" s="48" t="s">
        <v>1121</v>
      </c>
      <c r="N420" s="454">
        <v>101</v>
      </c>
      <c r="O420" s="48" t="s">
        <v>1066</v>
      </c>
      <c r="R420" s="320">
        <v>1000</v>
      </c>
      <c r="S420" s="317">
        <f t="shared" si="23"/>
        <v>0</v>
      </c>
    </row>
    <row r="421" spans="13:19">
      <c r="M421" s="48" t="s">
        <v>1121</v>
      </c>
      <c r="N421" s="454">
        <v>102</v>
      </c>
      <c r="O421" s="48" t="s">
        <v>1067</v>
      </c>
      <c r="P421" s="48" t="s">
        <v>406</v>
      </c>
      <c r="Q421" s="48">
        <v>2</v>
      </c>
      <c r="R421" s="320">
        <v>1000</v>
      </c>
      <c r="S421" s="317">
        <f t="shared" si="23"/>
        <v>2000</v>
      </c>
    </row>
    <row r="422" spans="13:19">
      <c r="M422" s="48" t="s">
        <v>1121</v>
      </c>
      <c r="N422" s="454">
        <v>103</v>
      </c>
      <c r="O422" s="48" t="s">
        <v>1068</v>
      </c>
      <c r="P422" s="48" t="s">
        <v>376</v>
      </c>
      <c r="Q422" s="48">
        <v>1</v>
      </c>
      <c r="R422" s="320">
        <v>1000</v>
      </c>
      <c r="S422" s="317">
        <f t="shared" si="23"/>
        <v>1000</v>
      </c>
    </row>
    <row r="423" spans="13:19">
      <c r="M423" s="48" t="s">
        <v>1121</v>
      </c>
      <c r="N423" s="454">
        <v>104</v>
      </c>
      <c r="O423" s="48" t="s">
        <v>1058</v>
      </c>
      <c r="P423" s="48" t="s">
        <v>376</v>
      </c>
      <c r="Q423" s="48">
        <v>1</v>
      </c>
      <c r="R423" s="320">
        <v>1000</v>
      </c>
      <c r="S423" s="317">
        <f t="shared" si="23"/>
        <v>1000</v>
      </c>
    </row>
    <row r="424" spans="13:19">
      <c r="M424" s="48" t="s">
        <v>1121</v>
      </c>
      <c r="N424" s="454">
        <v>105</v>
      </c>
      <c r="O424" s="48" t="s">
        <v>413</v>
      </c>
      <c r="P424" s="48" t="s">
        <v>376</v>
      </c>
      <c r="Q424" s="48">
        <v>1</v>
      </c>
      <c r="R424" s="320">
        <v>1000</v>
      </c>
      <c r="S424" s="317">
        <f t="shared" si="23"/>
        <v>1000</v>
      </c>
    </row>
    <row r="425" spans="13:19">
      <c r="M425" s="48" t="s">
        <v>1121</v>
      </c>
      <c r="N425" s="454">
        <v>106</v>
      </c>
      <c r="O425" s="48" t="s">
        <v>1069</v>
      </c>
      <c r="P425" s="48" t="s">
        <v>376</v>
      </c>
      <c r="Q425" s="48">
        <v>1</v>
      </c>
      <c r="R425" s="320">
        <v>1000</v>
      </c>
      <c r="S425" s="317">
        <f t="shared" si="23"/>
        <v>1000</v>
      </c>
    </row>
    <row r="426" spans="13:19">
      <c r="M426" s="48" t="s">
        <v>1121</v>
      </c>
      <c r="N426" s="454">
        <v>107</v>
      </c>
      <c r="O426" s="48" t="s">
        <v>1070</v>
      </c>
      <c r="P426" s="48" t="s">
        <v>376</v>
      </c>
      <c r="Q426" s="48">
        <v>2</v>
      </c>
      <c r="R426" s="320">
        <v>1000</v>
      </c>
      <c r="S426" s="317">
        <f t="shared" si="23"/>
        <v>2000</v>
      </c>
    </row>
    <row r="427" spans="13:19">
      <c r="M427" s="48" t="s">
        <v>1121</v>
      </c>
      <c r="N427" s="454">
        <v>108</v>
      </c>
      <c r="O427" s="48" t="s">
        <v>1071</v>
      </c>
      <c r="R427" s="320">
        <v>1000</v>
      </c>
      <c r="S427" s="317">
        <f t="shared" si="23"/>
        <v>0</v>
      </c>
    </row>
    <row r="428" spans="13:19">
      <c r="M428" s="48" t="s">
        <v>1121</v>
      </c>
      <c r="N428" s="454">
        <v>109</v>
      </c>
      <c r="O428" s="48" t="s">
        <v>1072</v>
      </c>
      <c r="P428" s="48" t="s">
        <v>376</v>
      </c>
      <c r="Q428" s="48">
        <v>2</v>
      </c>
      <c r="R428" s="320">
        <v>1000</v>
      </c>
      <c r="S428" s="317">
        <f t="shared" si="23"/>
        <v>2000</v>
      </c>
    </row>
    <row r="429" spans="13:19">
      <c r="M429" s="48" t="s">
        <v>1121</v>
      </c>
      <c r="N429" s="454">
        <v>110</v>
      </c>
      <c r="O429" s="48" t="s">
        <v>1073</v>
      </c>
      <c r="P429" s="48" t="s">
        <v>376</v>
      </c>
      <c r="Q429" s="48">
        <v>2</v>
      </c>
      <c r="R429" s="320">
        <v>1000</v>
      </c>
      <c r="S429" s="317">
        <f t="shared" si="23"/>
        <v>2000</v>
      </c>
    </row>
    <row r="430" spans="13:19">
      <c r="M430" s="48" t="s">
        <v>1121</v>
      </c>
      <c r="N430" s="454">
        <v>111</v>
      </c>
      <c r="O430" s="48" t="s">
        <v>558</v>
      </c>
      <c r="P430" s="48" t="s">
        <v>376</v>
      </c>
      <c r="Q430" s="48">
        <v>2</v>
      </c>
      <c r="R430" s="320">
        <v>1000</v>
      </c>
      <c r="S430" s="317">
        <f t="shared" si="23"/>
        <v>2000</v>
      </c>
    </row>
    <row r="431" spans="13:19">
      <c r="M431" s="48" t="s">
        <v>1121</v>
      </c>
      <c r="N431" s="454">
        <v>112</v>
      </c>
      <c r="O431" s="48" t="s">
        <v>1035</v>
      </c>
      <c r="P431" s="48" t="s">
        <v>376</v>
      </c>
      <c r="Q431" s="48">
        <v>100</v>
      </c>
      <c r="R431" s="320">
        <v>1000</v>
      </c>
      <c r="S431" s="317">
        <f t="shared" si="23"/>
        <v>100000</v>
      </c>
    </row>
    <row r="432" spans="13:19">
      <c r="M432" s="48" t="s">
        <v>1121</v>
      </c>
      <c r="N432" s="454">
        <v>113</v>
      </c>
      <c r="O432" s="48" t="s">
        <v>1074</v>
      </c>
      <c r="P432" s="48" t="s">
        <v>406</v>
      </c>
      <c r="Q432" s="48">
        <v>1</v>
      </c>
      <c r="R432" s="320">
        <v>1000</v>
      </c>
      <c r="S432" s="317">
        <f t="shared" si="23"/>
        <v>1000</v>
      </c>
    </row>
    <row r="433" spans="13:19">
      <c r="M433" s="48" t="s">
        <v>1121</v>
      </c>
      <c r="N433" s="454">
        <v>114</v>
      </c>
      <c r="O433" s="48" t="s">
        <v>1075</v>
      </c>
      <c r="P433" s="48" t="s">
        <v>376</v>
      </c>
      <c r="Q433" s="48">
        <v>1</v>
      </c>
      <c r="R433" s="320">
        <v>1000</v>
      </c>
      <c r="S433" s="317">
        <f t="shared" si="23"/>
        <v>1000</v>
      </c>
    </row>
    <row r="434" spans="13:19">
      <c r="M434" s="48" t="s">
        <v>1121</v>
      </c>
      <c r="N434" s="454">
        <v>115</v>
      </c>
      <c r="O434" s="48" t="s">
        <v>1076</v>
      </c>
      <c r="P434" s="48" t="s">
        <v>376</v>
      </c>
      <c r="Q434" s="48">
        <v>1</v>
      </c>
      <c r="R434" s="320">
        <v>1000</v>
      </c>
      <c r="S434" s="317">
        <f t="shared" si="23"/>
        <v>1000</v>
      </c>
    </row>
    <row r="435" spans="13:19">
      <c r="M435" s="48" t="s">
        <v>1121</v>
      </c>
      <c r="N435" s="454">
        <v>116</v>
      </c>
      <c r="O435" s="48" t="s">
        <v>1077</v>
      </c>
      <c r="P435" s="48" t="s">
        <v>406</v>
      </c>
      <c r="Q435" s="48">
        <v>1</v>
      </c>
      <c r="R435" s="320">
        <v>1000</v>
      </c>
      <c r="S435" s="317">
        <f t="shared" si="23"/>
        <v>1000</v>
      </c>
    </row>
    <row r="436" spans="13:19">
      <c r="M436" s="48" t="s">
        <v>1121</v>
      </c>
      <c r="N436" s="454">
        <v>117</v>
      </c>
      <c r="O436" s="48" t="s">
        <v>1078</v>
      </c>
      <c r="P436" s="48" t="s">
        <v>376</v>
      </c>
      <c r="Q436" s="48">
        <v>10</v>
      </c>
      <c r="R436" s="320">
        <v>1000</v>
      </c>
      <c r="S436" s="317">
        <f t="shared" si="23"/>
        <v>10000</v>
      </c>
    </row>
    <row r="437" spans="13:19">
      <c r="M437" s="48" t="s">
        <v>1121</v>
      </c>
      <c r="N437" s="454">
        <v>118</v>
      </c>
      <c r="O437" s="48" t="s">
        <v>388</v>
      </c>
      <c r="P437" s="48" t="s">
        <v>376</v>
      </c>
      <c r="Q437" s="48">
        <v>1</v>
      </c>
      <c r="R437" s="320">
        <v>1000</v>
      </c>
      <c r="S437" s="317">
        <f t="shared" si="23"/>
        <v>1000</v>
      </c>
    </row>
    <row r="438" spans="13:19">
      <c r="M438" s="48" t="s">
        <v>1121</v>
      </c>
      <c r="N438" s="454">
        <v>119</v>
      </c>
      <c r="O438" s="48" t="s">
        <v>1042</v>
      </c>
      <c r="P438" s="48" t="s">
        <v>376</v>
      </c>
      <c r="Q438" s="48">
        <v>10</v>
      </c>
      <c r="R438" s="320">
        <v>1000</v>
      </c>
      <c r="S438" s="317">
        <f t="shared" si="23"/>
        <v>10000</v>
      </c>
    </row>
    <row r="439" spans="13:19">
      <c r="M439" s="48" t="s">
        <v>1121</v>
      </c>
      <c r="N439" s="454">
        <v>120</v>
      </c>
      <c r="O439" s="48" t="s">
        <v>1079</v>
      </c>
      <c r="P439" s="48" t="s">
        <v>376</v>
      </c>
      <c r="Q439" s="48">
        <v>1</v>
      </c>
      <c r="R439" s="320">
        <v>1000</v>
      </c>
      <c r="S439" s="317">
        <f t="shared" si="23"/>
        <v>1000</v>
      </c>
    </row>
    <row r="440" spans="13:19">
      <c r="M440" s="48" t="s">
        <v>1122</v>
      </c>
      <c r="N440" s="454">
        <v>176</v>
      </c>
      <c r="O440" s="48" t="s">
        <v>1076</v>
      </c>
      <c r="P440" s="48" t="s">
        <v>376</v>
      </c>
      <c r="Q440" s="48">
        <v>4</v>
      </c>
      <c r="R440" s="320">
        <v>1000</v>
      </c>
      <c r="S440" s="317">
        <f t="shared" ref="S440:S448" si="24">R440*Q440</f>
        <v>4000</v>
      </c>
    </row>
    <row r="441" spans="13:19">
      <c r="M441" s="48" t="s">
        <v>1122</v>
      </c>
      <c r="N441" s="454">
        <v>177</v>
      </c>
      <c r="O441" s="48" t="s">
        <v>556</v>
      </c>
      <c r="P441" s="48" t="s">
        <v>376</v>
      </c>
      <c r="Q441" s="48">
        <v>2</v>
      </c>
      <c r="R441" s="320">
        <v>1000</v>
      </c>
      <c r="S441" s="317">
        <f t="shared" si="24"/>
        <v>2000</v>
      </c>
    </row>
    <row r="442" spans="13:19">
      <c r="M442" s="48" t="s">
        <v>1122</v>
      </c>
      <c r="N442" s="454">
        <v>178</v>
      </c>
      <c r="O442" s="48" t="s">
        <v>1092</v>
      </c>
      <c r="P442" s="48" t="s">
        <v>376</v>
      </c>
      <c r="Q442" s="48">
        <v>4</v>
      </c>
      <c r="R442" s="320">
        <v>1000</v>
      </c>
      <c r="S442" s="317">
        <f t="shared" si="24"/>
        <v>4000</v>
      </c>
    </row>
    <row r="443" spans="13:19">
      <c r="M443" s="48" t="s">
        <v>1122</v>
      </c>
      <c r="N443" s="454">
        <v>179</v>
      </c>
      <c r="O443" s="48" t="s">
        <v>1079</v>
      </c>
      <c r="P443" s="48" t="s">
        <v>376</v>
      </c>
      <c r="Q443" s="48">
        <v>15</v>
      </c>
      <c r="R443" s="320">
        <v>1000</v>
      </c>
      <c r="S443" s="317">
        <f t="shared" si="24"/>
        <v>15000</v>
      </c>
    </row>
    <row r="444" spans="13:19">
      <c r="M444" s="48" t="s">
        <v>1122</v>
      </c>
      <c r="N444" s="454">
        <v>180</v>
      </c>
      <c r="O444" s="48" t="s">
        <v>1083</v>
      </c>
      <c r="P444" s="48" t="s">
        <v>376</v>
      </c>
      <c r="Q444" s="48">
        <v>15</v>
      </c>
      <c r="R444" s="320">
        <v>1000</v>
      </c>
      <c r="S444" s="317">
        <f t="shared" si="24"/>
        <v>15000</v>
      </c>
    </row>
    <row r="445" spans="13:19">
      <c r="M445" s="48" t="s">
        <v>1122</v>
      </c>
      <c r="N445" s="454">
        <v>181</v>
      </c>
      <c r="O445" s="48" t="s">
        <v>1082</v>
      </c>
      <c r="P445" s="48" t="s">
        <v>376</v>
      </c>
      <c r="Q445" s="48">
        <v>15</v>
      </c>
      <c r="R445" s="320">
        <v>1000</v>
      </c>
      <c r="S445" s="317">
        <f t="shared" si="24"/>
        <v>15000</v>
      </c>
    </row>
    <row r="446" spans="13:19">
      <c r="M446" s="48" t="s">
        <v>1122</v>
      </c>
      <c r="N446" s="454">
        <v>182</v>
      </c>
      <c r="O446" s="48" t="s">
        <v>1080</v>
      </c>
      <c r="P446" s="48" t="s">
        <v>376</v>
      </c>
      <c r="Q446" s="48">
        <v>15</v>
      </c>
      <c r="R446" s="320">
        <v>1000</v>
      </c>
      <c r="S446" s="317">
        <f t="shared" si="24"/>
        <v>15000</v>
      </c>
    </row>
    <row r="447" spans="13:19">
      <c r="M447" s="48" t="s">
        <v>1122</v>
      </c>
      <c r="N447" s="454">
        <v>183</v>
      </c>
      <c r="O447" s="48" t="s">
        <v>1086</v>
      </c>
      <c r="P447" s="48" t="s">
        <v>376</v>
      </c>
      <c r="Q447" s="48">
        <v>15</v>
      </c>
      <c r="R447" s="320">
        <v>1000</v>
      </c>
      <c r="S447" s="317">
        <f t="shared" si="24"/>
        <v>15000</v>
      </c>
    </row>
    <row r="448" spans="13:19">
      <c r="M448" s="48" t="s">
        <v>1122</v>
      </c>
      <c r="N448" s="454">
        <v>184</v>
      </c>
      <c r="O448" s="48" t="s">
        <v>1093</v>
      </c>
      <c r="P448" s="48" t="s">
        <v>1094</v>
      </c>
      <c r="R448" s="320">
        <v>1000</v>
      </c>
      <c r="S448" s="317">
        <f t="shared" si="24"/>
        <v>0</v>
      </c>
    </row>
    <row r="449" spans="13:19">
      <c r="M449" s="48" t="s">
        <v>1122</v>
      </c>
      <c r="N449" s="454">
        <v>185</v>
      </c>
      <c r="O449" s="48" t="s">
        <v>1095</v>
      </c>
      <c r="P449" s="48" t="s">
        <v>401</v>
      </c>
      <c r="Q449" s="48">
        <v>1</v>
      </c>
      <c r="R449" s="320">
        <v>1000</v>
      </c>
      <c r="S449" s="317">
        <f t="shared" ref="S449:S512" si="25">R449*Q449</f>
        <v>1000</v>
      </c>
    </row>
    <row r="450" spans="13:19">
      <c r="M450" s="48" t="s">
        <v>1122</v>
      </c>
      <c r="N450" s="454">
        <v>186</v>
      </c>
      <c r="O450" s="48" t="s">
        <v>1096</v>
      </c>
      <c r="P450" s="48" t="s">
        <v>406</v>
      </c>
      <c r="Q450" s="48">
        <v>1</v>
      </c>
      <c r="R450" s="320">
        <v>1000</v>
      </c>
      <c r="S450" s="317">
        <f t="shared" si="25"/>
        <v>1000</v>
      </c>
    </row>
    <row r="451" spans="13:19">
      <c r="M451" s="48" t="s">
        <v>1122</v>
      </c>
      <c r="N451" s="454">
        <v>187</v>
      </c>
      <c r="O451" s="48" t="s">
        <v>1097</v>
      </c>
      <c r="P451" s="48" t="s">
        <v>406</v>
      </c>
      <c r="Q451" s="48">
        <v>1</v>
      </c>
      <c r="R451" s="320">
        <v>1000</v>
      </c>
      <c r="S451" s="317">
        <f t="shared" si="25"/>
        <v>1000</v>
      </c>
    </row>
    <row r="452" spans="13:19">
      <c r="M452" s="48" t="s">
        <v>1122</v>
      </c>
      <c r="N452" s="454">
        <v>188</v>
      </c>
      <c r="O452" s="48" t="s">
        <v>558</v>
      </c>
      <c r="P452" s="48" t="s">
        <v>376</v>
      </c>
      <c r="Q452" s="48">
        <v>30</v>
      </c>
      <c r="R452" s="320">
        <v>1000</v>
      </c>
      <c r="S452" s="317">
        <f t="shared" si="25"/>
        <v>30000</v>
      </c>
    </row>
    <row r="453" spans="13:19">
      <c r="M453" s="48" t="s">
        <v>1122</v>
      </c>
      <c r="N453" s="454">
        <v>189</v>
      </c>
      <c r="O453" s="48" t="s">
        <v>1098</v>
      </c>
      <c r="P453" s="48" t="s">
        <v>376</v>
      </c>
      <c r="Q453" s="48">
        <v>5</v>
      </c>
      <c r="R453" s="320">
        <v>1000</v>
      </c>
      <c r="S453" s="317">
        <f t="shared" si="25"/>
        <v>5000</v>
      </c>
    </row>
    <row r="454" spans="13:19">
      <c r="M454" s="48" t="s">
        <v>1122</v>
      </c>
      <c r="N454" s="454">
        <v>190</v>
      </c>
      <c r="O454" s="48" t="s">
        <v>1099</v>
      </c>
      <c r="P454" s="48" t="s">
        <v>401</v>
      </c>
      <c r="Q454" s="48">
        <v>1</v>
      </c>
      <c r="R454" s="320">
        <v>1000</v>
      </c>
      <c r="S454" s="317">
        <f t="shared" si="25"/>
        <v>1000</v>
      </c>
    </row>
    <row r="455" spans="13:19">
      <c r="M455" s="48" t="s">
        <v>1122</v>
      </c>
      <c r="N455" s="454">
        <v>191</v>
      </c>
      <c r="O455" s="48" t="s">
        <v>375</v>
      </c>
      <c r="P455" s="48" t="s">
        <v>376</v>
      </c>
      <c r="Q455" s="48">
        <v>50</v>
      </c>
      <c r="R455" s="320">
        <v>1000</v>
      </c>
      <c r="S455" s="317">
        <f t="shared" si="25"/>
        <v>50000</v>
      </c>
    </row>
    <row r="456" spans="13:19">
      <c r="M456" s="48" t="s">
        <v>1122</v>
      </c>
      <c r="N456" s="454">
        <v>192</v>
      </c>
      <c r="O456" s="48" t="s">
        <v>1100</v>
      </c>
      <c r="P456" s="48" t="s">
        <v>376</v>
      </c>
      <c r="Q456" s="48">
        <v>10</v>
      </c>
      <c r="R456" s="320">
        <v>1000</v>
      </c>
      <c r="S456" s="317">
        <f t="shared" si="25"/>
        <v>10000</v>
      </c>
    </row>
    <row r="457" spans="13:19">
      <c r="M457" s="48" t="s">
        <v>1122</v>
      </c>
      <c r="N457" s="454">
        <v>193</v>
      </c>
      <c r="O457" s="48" t="s">
        <v>378</v>
      </c>
      <c r="P457" s="48" t="s">
        <v>376</v>
      </c>
      <c r="Q457" s="48">
        <v>10</v>
      </c>
      <c r="R457" s="320">
        <v>1000</v>
      </c>
      <c r="S457" s="317">
        <f t="shared" si="25"/>
        <v>10000</v>
      </c>
    </row>
    <row r="458" spans="13:19">
      <c r="M458" s="48" t="s">
        <v>1122</v>
      </c>
      <c r="N458" s="454">
        <v>194</v>
      </c>
      <c r="O458" s="48" t="s">
        <v>379</v>
      </c>
      <c r="P458" s="48" t="s">
        <v>376</v>
      </c>
      <c r="Q458" s="48">
        <v>10</v>
      </c>
      <c r="R458" s="320">
        <v>1000</v>
      </c>
      <c r="S458" s="317">
        <f t="shared" si="25"/>
        <v>10000</v>
      </c>
    </row>
    <row r="459" spans="13:19">
      <c r="M459" s="48" t="s">
        <v>1122</v>
      </c>
      <c r="N459" s="454">
        <v>195</v>
      </c>
      <c r="O459" s="48" t="s">
        <v>1084</v>
      </c>
      <c r="P459" s="48" t="s">
        <v>376</v>
      </c>
      <c r="Q459" s="48">
        <v>10</v>
      </c>
      <c r="R459" s="320">
        <v>1000</v>
      </c>
      <c r="S459" s="317">
        <f t="shared" si="25"/>
        <v>10000</v>
      </c>
    </row>
    <row r="460" spans="13:19">
      <c r="M460" s="48" t="s">
        <v>1122</v>
      </c>
      <c r="N460" s="454">
        <v>196</v>
      </c>
      <c r="O460" s="48" t="s">
        <v>1101</v>
      </c>
      <c r="P460" s="48" t="s">
        <v>376</v>
      </c>
      <c r="Q460" s="48">
        <v>3</v>
      </c>
      <c r="R460" s="320">
        <v>1000</v>
      </c>
      <c r="S460" s="317">
        <f t="shared" si="25"/>
        <v>3000</v>
      </c>
    </row>
    <row r="461" spans="13:19">
      <c r="M461" s="48" t="s">
        <v>1122</v>
      </c>
      <c r="N461" s="454">
        <v>197</v>
      </c>
      <c r="O461" s="48" t="s">
        <v>408</v>
      </c>
      <c r="P461" s="48" t="s">
        <v>376</v>
      </c>
      <c r="Q461" s="48">
        <v>15</v>
      </c>
      <c r="R461" s="320">
        <v>1000</v>
      </c>
      <c r="S461" s="317">
        <f t="shared" si="25"/>
        <v>15000</v>
      </c>
    </row>
    <row r="462" spans="13:19">
      <c r="M462" s="48" t="s">
        <v>1122</v>
      </c>
      <c r="N462" s="454">
        <v>198</v>
      </c>
      <c r="O462" s="48" t="s">
        <v>1102</v>
      </c>
      <c r="P462" s="48" t="s">
        <v>376</v>
      </c>
      <c r="Q462" s="48">
        <v>60</v>
      </c>
      <c r="R462" s="320">
        <v>1000</v>
      </c>
      <c r="S462" s="317">
        <f t="shared" si="25"/>
        <v>60000</v>
      </c>
    </row>
    <row r="463" spans="13:19">
      <c r="M463" s="48" t="s">
        <v>1122</v>
      </c>
      <c r="N463" s="454">
        <v>199</v>
      </c>
      <c r="O463" s="48" t="s">
        <v>1119</v>
      </c>
      <c r="P463" s="48" t="s">
        <v>376</v>
      </c>
      <c r="Q463" s="48">
        <v>50</v>
      </c>
      <c r="R463" s="320">
        <v>1000</v>
      </c>
      <c r="S463" s="317">
        <f t="shared" si="25"/>
        <v>50000</v>
      </c>
    </row>
    <row r="464" spans="13:19">
      <c r="M464" s="48" t="s">
        <v>1122</v>
      </c>
      <c r="N464" s="454">
        <v>200</v>
      </c>
      <c r="O464" s="48" t="s">
        <v>388</v>
      </c>
      <c r="P464" s="48" t="s">
        <v>376</v>
      </c>
      <c r="Q464" s="48">
        <v>20</v>
      </c>
      <c r="R464" s="320">
        <v>1000</v>
      </c>
      <c r="S464" s="317">
        <f t="shared" si="25"/>
        <v>20000</v>
      </c>
    </row>
    <row r="465" spans="13:19">
      <c r="M465" s="48" t="s">
        <v>1122</v>
      </c>
      <c r="N465" s="454">
        <v>201</v>
      </c>
      <c r="O465" s="48" t="s">
        <v>1103</v>
      </c>
      <c r="P465" s="48" t="s">
        <v>376</v>
      </c>
      <c r="Q465" s="48">
        <v>15</v>
      </c>
      <c r="R465" s="320">
        <v>1000</v>
      </c>
      <c r="S465" s="317">
        <f t="shared" si="25"/>
        <v>15000</v>
      </c>
    </row>
    <row r="466" spans="13:19">
      <c r="M466" s="48" t="s">
        <v>1122</v>
      </c>
      <c r="N466" s="454">
        <v>202</v>
      </c>
      <c r="O466" s="48" t="s">
        <v>385</v>
      </c>
      <c r="P466" s="48" t="s">
        <v>406</v>
      </c>
      <c r="Q466" s="48">
        <v>10</v>
      </c>
      <c r="R466" s="320">
        <v>1000</v>
      </c>
      <c r="S466" s="317">
        <f t="shared" si="25"/>
        <v>10000</v>
      </c>
    </row>
    <row r="467" spans="13:19">
      <c r="M467" s="48" t="s">
        <v>1122</v>
      </c>
      <c r="N467" s="454">
        <v>203</v>
      </c>
      <c r="O467" s="48" t="s">
        <v>405</v>
      </c>
      <c r="P467" s="48" t="s">
        <v>406</v>
      </c>
      <c r="Q467" s="48">
        <v>10</v>
      </c>
      <c r="R467" s="320">
        <v>1000</v>
      </c>
      <c r="S467" s="317">
        <f t="shared" si="25"/>
        <v>10000</v>
      </c>
    </row>
    <row r="468" spans="13:19">
      <c r="M468" s="48" t="s">
        <v>1122</v>
      </c>
      <c r="N468" s="454">
        <v>204</v>
      </c>
      <c r="O468" s="48" t="s">
        <v>1104</v>
      </c>
      <c r="P468" s="48" t="s">
        <v>406</v>
      </c>
      <c r="Q468" s="48">
        <v>30</v>
      </c>
      <c r="R468" s="320">
        <v>1000</v>
      </c>
      <c r="S468" s="317">
        <f t="shared" si="25"/>
        <v>30000</v>
      </c>
    </row>
    <row r="469" spans="13:19">
      <c r="M469" s="48" t="s">
        <v>1122</v>
      </c>
      <c r="N469" s="454">
        <v>205</v>
      </c>
      <c r="O469" s="48" t="s">
        <v>1088</v>
      </c>
      <c r="P469" s="48" t="s">
        <v>406</v>
      </c>
      <c r="Q469" s="48">
        <v>20</v>
      </c>
      <c r="R469" s="320">
        <v>1000</v>
      </c>
      <c r="S469" s="317">
        <f t="shared" si="25"/>
        <v>20000</v>
      </c>
    </row>
    <row r="470" spans="13:19">
      <c r="M470" s="48" t="s">
        <v>1122</v>
      </c>
      <c r="N470" s="454">
        <v>206</v>
      </c>
      <c r="O470" s="48" t="s">
        <v>1089</v>
      </c>
      <c r="P470" s="48" t="s">
        <v>376</v>
      </c>
      <c r="Q470" s="48">
        <v>30</v>
      </c>
      <c r="R470" s="320">
        <v>1000</v>
      </c>
      <c r="S470" s="317">
        <f t="shared" si="25"/>
        <v>30000</v>
      </c>
    </row>
    <row r="471" spans="13:19">
      <c r="M471" s="48" t="s">
        <v>1122</v>
      </c>
      <c r="N471" s="454">
        <v>207</v>
      </c>
      <c r="O471" s="48" t="s">
        <v>1105</v>
      </c>
      <c r="P471" s="48" t="s">
        <v>376</v>
      </c>
      <c r="Q471" s="48">
        <v>30</v>
      </c>
      <c r="R471" s="320">
        <v>1000</v>
      </c>
      <c r="S471" s="317">
        <f t="shared" si="25"/>
        <v>30000</v>
      </c>
    </row>
    <row r="472" spans="13:19">
      <c r="M472" s="48" t="s">
        <v>1122</v>
      </c>
      <c r="N472" s="454">
        <v>208</v>
      </c>
      <c r="O472" s="48" t="s">
        <v>608</v>
      </c>
      <c r="P472" s="48" t="s">
        <v>376</v>
      </c>
      <c r="Q472" s="48">
        <v>30</v>
      </c>
      <c r="R472" s="320">
        <v>1000</v>
      </c>
      <c r="S472" s="317">
        <f t="shared" si="25"/>
        <v>30000</v>
      </c>
    </row>
    <row r="473" spans="13:19">
      <c r="M473" s="48" t="s">
        <v>1122</v>
      </c>
      <c r="N473" s="454">
        <v>209</v>
      </c>
      <c r="O473" s="48" t="s">
        <v>1106</v>
      </c>
      <c r="P473" s="48" t="s">
        <v>376</v>
      </c>
      <c r="Q473" s="48">
        <v>50</v>
      </c>
      <c r="R473" s="320">
        <v>1000</v>
      </c>
      <c r="S473" s="317">
        <f t="shared" si="25"/>
        <v>50000</v>
      </c>
    </row>
    <row r="474" spans="13:19">
      <c r="M474" s="48" t="s">
        <v>1122</v>
      </c>
      <c r="N474" s="454">
        <v>210</v>
      </c>
      <c r="O474" s="48" t="s">
        <v>1107</v>
      </c>
      <c r="P474" s="48" t="s">
        <v>376</v>
      </c>
      <c r="Q474" s="48">
        <v>50</v>
      </c>
      <c r="R474" s="320">
        <v>1000</v>
      </c>
      <c r="S474" s="317">
        <f t="shared" si="25"/>
        <v>50000</v>
      </c>
    </row>
    <row r="475" spans="13:19">
      <c r="M475" s="48" t="s">
        <v>1122</v>
      </c>
      <c r="N475" s="454">
        <v>211</v>
      </c>
      <c r="O475" s="48" t="s">
        <v>1108</v>
      </c>
      <c r="P475" s="48" t="s">
        <v>376</v>
      </c>
      <c r="Q475" s="48">
        <v>50</v>
      </c>
      <c r="R475" s="320">
        <v>1000</v>
      </c>
      <c r="S475" s="317">
        <f t="shared" si="25"/>
        <v>50000</v>
      </c>
    </row>
    <row r="476" spans="13:19">
      <c r="M476" s="48" t="s">
        <v>1122</v>
      </c>
      <c r="N476" s="454">
        <v>212</v>
      </c>
      <c r="O476" s="48" t="s">
        <v>1109</v>
      </c>
      <c r="P476" s="48" t="s">
        <v>376</v>
      </c>
      <c r="Q476" s="48">
        <v>50</v>
      </c>
      <c r="R476" s="320">
        <v>1000</v>
      </c>
      <c r="S476" s="317">
        <f t="shared" si="25"/>
        <v>50000</v>
      </c>
    </row>
    <row r="477" spans="13:19">
      <c r="M477" s="48" t="s">
        <v>1122</v>
      </c>
      <c r="N477" s="454">
        <v>213</v>
      </c>
      <c r="O477" s="48" t="s">
        <v>1110</v>
      </c>
      <c r="P477" s="48" t="s">
        <v>376</v>
      </c>
      <c r="Q477" s="48">
        <v>10</v>
      </c>
      <c r="R477" s="320">
        <v>1000</v>
      </c>
      <c r="S477" s="317">
        <f t="shared" si="25"/>
        <v>10000</v>
      </c>
    </row>
    <row r="478" spans="13:19">
      <c r="M478" s="48" t="s">
        <v>1122</v>
      </c>
      <c r="N478" s="454">
        <v>214</v>
      </c>
      <c r="O478" s="48" t="s">
        <v>403</v>
      </c>
      <c r="P478" s="48" t="s">
        <v>376</v>
      </c>
      <c r="Q478" s="48">
        <v>10</v>
      </c>
      <c r="R478" s="320">
        <v>1000</v>
      </c>
      <c r="S478" s="317">
        <f t="shared" si="25"/>
        <v>10000</v>
      </c>
    </row>
    <row r="479" spans="13:19">
      <c r="M479" s="48" t="s">
        <v>1122</v>
      </c>
      <c r="N479" s="454">
        <v>215</v>
      </c>
      <c r="O479" s="48" t="s">
        <v>392</v>
      </c>
      <c r="P479" s="48" t="s">
        <v>376</v>
      </c>
      <c r="Q479" s="48">
        <v>10</v>
      </c>
      <c r="R479" s="320">
        <v>1000</v>
      </c>
      <c r="S479" s="317">
        <f t="shared" si="25"/>
        <v>10000</v>
      </c>
    </row>
    <row r="480" spans="13:19">
      <c r="M480" s="48" t="s">
        <v>1122</v>
      </c>
      <c r="N480" s="454">
        <v>216</v>
      </c>
      <c r="O480" s="48" t="s">
        <v>625</v>
      </c>
      <c r="P480" s="48" t="s">
        <v>376</v>
      </c>
      <c r="Q480" s="48">
        <v>10</v>
      </c>
      <c r="R480" s="320">
        <v>1000</v>
      </c>
      <c r="S480" s="317">
        <f t="shared" si="25"/>
        <v>10000</v>
      </c>
    </row>
    <row r="481" spans="13:19">
      <c r="M481" s="48" t="s">
        <v>1122</v>
      </c>
      <c r="N481" s="454">
        <v>217</v>
      </c>
      <c r="O481" s="48" t="s">
        <v>389</v>
      </c>
      <c r="P481" s="48" t="s">
        <v>376</v>
      </c>
      <c r="Q481" s="48">
        <v>10</v>
      </c>
      <c r="R481" s="320">
        <v>1000</v>
      </c>
      <c r="S481" s="317">
        <f t="shared" si="25"/>
        <v>10000</v>
      </c>
    </row>
    <row r="482" spans="13:19">
      <c r="M482" s="48" t="s">
        <v>1122</v>
      </c>
      <c r="N482" s="454">
        <v>218</v>
      </c>
      <c r="O482" s="48" t="s">
        <v>1120</v>
      </c>
      <c r="P482" s="48" t="s">
        <v>376</v>
      </c>
      <c r="Q482" s="48">
        <v>10</v>
      </c>
      <c r="R482" s="320">
        <v>1000</v>
      </c>
      <c r="S482" s="317">
        <f t="shared" si="25"/>
        <v>10000</v>
      </c>
    </row>
    <row r="483" spans="13:19">
      <c r="M483" s="48" t="s">
        <v>1122</v>
      </c>
      <c r="N483" s="454">
        <v>219</v>
      </c>
      <c r="O483" s="48" t="s">
        <v>1111</v>
      </c>
      <c r="P483" s="48" t="s">
        <v>376</v>
      </c>
      <c r="Q483" s="48">
        <v>30</v>
      </c>
      <c r="R483" s="320">
        <v>1000</v>
      </c>
      <c r="S483" s="317">
        <f t="shared" si="25"/>
        <v>30000</v>
      </c>
    </row>
    <row r="484" spans="13:19">
      <c r="M484" s="48" t="s">
        <v>1122</v>
      </c>
      <c r="N484" s="454">
        <v>220</v>
      </c>
      <c r="O484" s="48" t="s">
        <v>1112</v>
      </c>
      <c r="P484" s="48" t="s">
        <v>528</v>
      </c>
      <c r="Q484" s="48">
        <v>100</v>
      </c>
      <c r="R484" s="320">
        <v>1000</v>
      </c>
      <c r="S484" s="317">
        <f t="shared" si="25"/>
        <v>100000</v>
      </c>
    </row>
    <row r="485" spans="13:19">
      <c r="M485" s="48" t="s">
        <v>1122</v>
      </c>
      <c r="N485" s="454">
        <v>221</v>
      </c>
      <c r="O485" s="48" t="s">
        <v>538</v>
      </c>
      <c r="P485" s="48" t="s">
        <v>376</v>
      </c>
      <c r="Q485" s="48">
        <v>70</v>
      </c>
      <c r="R485" s="320">
        <v>1000</v>
      </c>
      <c r="S485" s="317">
        <f t="shared" si="25"/>
        <v>70000</v>
      </c>
    </row>
    <row r="486" spans="13:19">
      <c r="M486" s="48" t="s">
        <v>1122</v>
      </c>
      <c r="N486" s="454">
        <v>222</v>
      </c>
      <c r="O486" s="48" t="s">
        <v>606</v>
      </c>
      <c r="P486" s="48" t="s">
        <v>376</v>
      </c>
      <c r="Q486" s="48">
        <v>100</v>
      </c>
      <c r="R486" s="320">
        <v>1000</v>
      </c>
      <c r="S486" s="317">
        <f t="shared" si="25"/>
        <v>100000</v>
      </c>
    </row>
    <row r="487" spans="13:19">
      <c r="M487" s="48" t="s">
        <v>1122</v>
      </c>
      <c r="N487" s="454">
        <v>223</v>
      </c>
      <c r="O487" s="48" t="s">
        <v>1113</v>
      </c>
      <c r="P487" s="48" t="s">
        <v>376</v>
      </c>
      <c r="Q487" s="48">
        <v>70</v>
      </c>
      <c r="R487" s="320">
        <v>1000</v>
      </c>
      <c r="S487" s="317">
        <f t="shared" si="25"/>
        <v>70000</v>
      </c>
    </row>
    <row r="488" spans="13:19">
      <c r="M488" s="48" t="s">
        <v>1122</v>
      </c>
      <c r="N488" s="454">
        <v>224</v>
      </c>
      <c r="O488" s="48" t="s">
        <v>614</v>
      </c>
      <c r="P488" s="48" t="s">
        <v>376</v>
      </c>
      <c r="Q488" s="48">
        <v>100</v>
      </c>
      <c r="R488" s="320">
        <v>1000</v>
      </c>
      <c r="S488" s="317">
        <f t="shared" si="25"/>
        <v>100000</v>
      </c>
    </row>
    <row r="489" spans="13:19">
      <c r="M489" s="48" t="s">
        <v>1122</v>
      </c>
      <c r="N489" s="454">
        <v>225</v>
      </c>
      <c r="O489" s="48" t="s">
        <v>416</v>
      </c>
      <c r="P489" s="48" t="s">
        <v>376</v>
      </c>
      <c r="Q489" s="48">
        <v>100</v>
      </c>
      <c r="R489" s="320">
        <v>1000</v>
      </c>
      <c r="S489" s="317">
        <f t="shared" si="25"/>
        <v>100000</v>
      </c>
    </row>
    <row r="490" spans="13:19">
      <c r="M490" s="48" t="s">
        <v>1122</v>
      </c>
      <c r="N490" s="454">
        <v>226</v>
      </c>
      <c r="O490" s="48" t="s">
        <v>621</v>
      </c>
      <c r="P490" s="48" t="s">
        <v>376</v>
      </c>
      <c r="Q490" s="48">
        <v>10</v>
      </c>
      <c r="R490" s="320">
        <v>1000</v>
      </c>
      <c r="S490" s="317">
        <f t="shared" si="25"/>
        <v>10000</v>
      </c>
    </row>
    <row r="491" spans="13:19">
      <c r="M491" s="48" t="s">
        <v>1122</v>
      </c>
      <c r="N491" s="454">
        <v>227</v>
      </c>
      <c r="O491" s="48" t="s">
        <v>632</v>
      </c>
      <c r="P491" s="48" t="s">
        <v>376</v>
      </c>
      <c r="Q491" s="48">
        <v>5</v>
      </c>
      <c r="R491" s="320">
        <v>1000</v>
      </c>
      <c r="S491" s="317">
        <f t="shared" si="25"/>
        <v>5000</v>
      </c>
    </row>
    <row r="492" spans="13:19">
      <c r="M492" s="48" t="s">
        <v>1122</v>
      </c>
      <c r="N492" s="454">
        <v>228</v>
      </c>
      <c r="O492" s="48" t="s">
        <v>1114</v>
      </c>
      <c r="P492" s="48" t="s">
        <v>376</v>
      </c>
      <c r="Q492" s="48">
        <v>5</v>
      </c>
      <c r="R492" s="320">
        <v>1000</v>
      </c>
      <c r="S492" s="317">
        <f t="shared" si="25"/>
        <v>5000</v>
      </c>
    </row>
    <row r="493" spans="13:19">
      <c r="M493" s="48" t="s">
        <v>1122</v>
      </c>
      <c r="N493" s="454">
        <v>229</v>
      </c>
      <c r="O493" s="48" t="s">
        <v>1069</v>
      </c>
      <c r="P493" s="48" t="s">
        <v>376</v>
      </c>
      <c r="Q493" s="48">
        <v>4</v>
      </c>
      <c r="R493" s="320">
        <v>1000</v>
      </c>
      <c r="S493" s="317">
        <f t="shared" si="25"/>
        <v>4000</v>
      </c>
    </row>
    <row r="494" spans="13:19">
      <c r="M494" s="48" t="s">
        <v>1122</v>
      </c>
      <c r="N494" s="454">
        <v>230</v>
      </c>
      <c r="O494" s="48" t="s">
        <v>1115</v>
      </c>
      <c r="P494" s="48" t="s">
        <v>376</v>
      </c>
      <c r="Q494" s="48">
        <v>6</v>
      </c>
      <c r="R494" s="320">
        <v>1000</v>
      </c>
      <c r="S494" s="317">
        <f t="shared" si="25"/>
        <v>6000</v>
      </c>
    </row>
    <row r="495" spans="13:19">
      <c r="M495" s="48" t="s">
        <v>1122</v>
      </c>
      <c r="N495" s="454">
        <v>231</v>
      </c>
      <c r="O495" s="48" t="s">
        <v>635</v>
      </c>
      <c r="P495" s="48" t="s">
        <v>376</v>
      </c>
      <c r="Q495" s="48">
        <v>5</v>
      </c>
      <c r="R495" s="320">
        <v>1000</v>
      </c>
      <c r="S495" s="317">
        <f t="shared" si="25"/>
        <v>5000</v>
      </c>
    </row>
    <row r="496" spans="13:19">
      <c r="M496" s="48" t="s">
        <v>1122</v>
      </c>
      <c r="N496" s="454">
        <v>232</v>
      </c>
      <c r="O496" s="48" t="s">
        <v>413</v>
      </c>
      <c r="P496" s="48" t="s">
        <v>376</v>
      </c>
      <c r="Q496" s="48">
        <v>5</v>
      </c>
      <c r="R496" s="320">
        <v>1000</v>
      </c>
      <c r="S496" s="317">
        <f t="shared" si="25"/>
        <v>5000</v>
      </c>
    </row>
    <row r="497" spans="13:19">
      <c r="M497" s="48" t="s">
        <v>1122</v>
      </c>
      <c r="N497" s="454">
        <v>233</v>
      </c>
      <c r="O497" s="48" t="s">
        <v>414</v>
      </c>
      <c r="P497" s="48" t="s">
        <v>376</v>
      </c>
      <c r="Q497" s="48">
        <v>5</v>
      </c>
      <c r="R497" s="320">
        <v>1000</v>
      </c>
      <c r="S497" s="317">
        <f t="shared" si="25"/>
        <v>5000</v>
      </c>
    </row>
    <row r="498" spans="13:19">
      <c r="M498" s="48" t="s">
        <v>1122</v>
      </c>
      <c r="N498" s="454">
        <v>234</v>
      </c>
      <c r="O498" s="48" t="s">
        <v>560</v>
      </c>
      <c r="P498" s="48" t="s">
        <v>376</v>
      </c>
      <c r="Q498" s="48">
        <v>30</v>
      </c>
      <c r="R498" s="320">
        <v>1000</v>
      </c>
      <c r="S498" s="317">
        <f t="shared" si="25"/>
        <v>30000</v>
      </c>
    </row>
    <row r="499" spans="13:19">
      <c r="M499" s="48" t="s">
        <v>1122</v>
      </c>
      <c r="N499" s="454">
        <v>235</v>
      </c>
      <c r="O499" s="48" t="s">
        <v>1116</v>
      </c>
      <c r="P499" s="48" t="s">
        <v>406</v>
      </c>
      <c r="Q499" s="48">
        <v>30</v>
      </c>
      <c r="R499" s="320">
        <v>1000</v>
      </c>
      <c r="S499" s="317">
        <f t="shared" si="25"/>
        <v>30000</v>
      </c>
    </row>
    <row r="500" spans="13:19">
      <c r="M500" s="48" t="s">
        <v>1122</v>
      </c>
      <c r="N500" s="454">
        <v>236</v>
      </c>
      <c r="O500" s="48" t="s">
        <v>491</v>
      </c>
      <c r="P500" s="48" t="s">
        <v>376</v>
      </c>
      <c r="Q500" s="48">
        <v>500</v>
      </c>
      <c r="R500" s="320">
        <v>1000</v>
      </c>
      <c r="S500" s="317">
        <f t="shared" si="25"/>
        <v>500000</v>
      </c>
    </row>
    <row r="501" spans="13:19">
      <c r="M501" s="48" t="s">
        <v>1122</v>
      </c>
      <c r="N501" s="454">
        <v>237</v>
      </c>
      <c r="O501" s="48" t="s">
        <v>415</v>
      </c>
      <c r="P501" s="48" t="s">
        <v>376</v>
      </c>
      <c r="Q501" s="48">
        <v>10</v>
      </c>
      <c r="R501" s="320">
        <v>1000</v>
      </c>
      <c r="S501" s="317">
        <f t="shared" si="25"/>
        <v>10000</v>
      </c>
    </row>
    <row r="502" spans="13:19">
      <c r="M502" s="48" t="s">
        <v>1122</v>
      </c>
      <c r="N502" s="454">
        <v>238</v>
      </c>
      <c r="O502" s="48" t="s">
        <v>410</v>
      </c>
      <c r="P502" s="48" t="s">
        <v>376</v>
      </c>
      <c r="Q502" s="48">
        <v>2</v>
      </c>
      <c r="R502" s="320">
        <v>1000</v>
      </c>
      <c r="S502" s="317">
        <f t="shared" si="25"/>
        <v>2000</v>
      </c>
    </row>
    <row r="503" spans="13:19">
      <c r="M503" s="48" t="s">
        <v>1122</v>
      </c>
      <c r="N503" s="454">
        <v>239</v>
      </c>
      <c r="O503" s="48" t="s">
        <v>383</v>
      </c>
      <c r="P503" s="48" t="s">
        <v>376</v>
      </c>
      <c r="Q503" s="48">
        <v>140</v>
      </c>
      <c r="R503" s="320">
        <v>1000</v>
      </c>
      <c r="S503" s="317">
        <f t="shared" si="25"/>
        <v>140000</v>
      </c>
    </row>
    <row r="504" spans="13:19">
      <c r="M504" s="48" t="s">
        <v>1122</v>
      </c>
      <c r="N504" s="454">
        <v>240</v>
      </c>
      <c r="O504" s="48" t="s">
        <v>604</v>
      </c>
      <c r="P504" s="48" t="s">
        <v>376</v>
      </c>
      <c r="Q504" s="48">
        <v>140</v>
      </c>
      <c r="R504" s="320">
        <v>1000</v>
      </c>
      <c r="S504" s="317">
        <f t="shared" si="25"/>
        <v>140000</v>
      </c>
    </row>
    <row r="505" spans="13:19">
      <c r="M505" s="48" t="s">
        <v>1122</v>
      </c>
      <c r="N505" s="454">
        <v>241</v>
      </c>
      <c r="O505" s="48" t="s">
        <v>1057</v>
      </c>
      <c r="P505" s="48" t="s">
        <v>376</v>
      </c>
      <c r="Q505" s="48">
        <v>6</v>
      </c>
      <c r="R505" s="320">
        <v>1000</v>
      </c>
      <c r="S505" s="317">
        <f t="shared" si="25"/>
        <v>6000</v>
      </c>
    </row>
    <row r="506" spans="13:19">
      <c r="M506" s="48" t="s">
        <v>1122</v>
      </c>
      <c r="N506" s="454">
        <v>242</v>
      </c>
      <c r="O506" s="48" t="s">
        <v>395</v>
      </c>
      <c r="P506" s="48" t="s">
        <v>376</v>
      </c>
      <c r="Q506" s="48">
        <v>50</v>
      </c>
      <c r="R506" s="320">
        <v>1000</v>
      </c>
      <c r="S506" s="317">
        <f t="shared" si="25"/>
        <v>50000</v>
      </c>
    </row>
    <row r="507" spans="13:19">
      <c r="M507" s="48" t="s">
        <v>1122</v>
      </c>
      <c r="N507" s="454">
        <v>243</v>
      </c>
      <c r="O507" s="48" t="s">
        <v>589</v>
      </c>
      <c r="P507" s="48" t="s">
        <v>376</v>
      </c>
      <c r="Q507" s="48">
        <v>100</v>
      </c>
      <c r="R507" s="320">
        <v>1000</v>
      </c>
      <c r="S507" s="317">
        <f t="shared" si="25"/>
        <v>100000</v>
      </c>
    </row>
    <row r="508" spans="13:19">
      <c r="M508" s="48" t="s">
        <v>1122</v>
      </c>
      <c r="N508" s="454">
        <v>244</v>
      </c>
      <c r="O508" s="48" t="s">
        <v>617</v>
      </c>
      <c r="P508" s="48" t="s">
        <v>376</v>
      </c>
      <c r="Q508" s="48">
        <v>50</v>
      </c>
      <c r="R508" s="320">
        <v>1000</v>
      </c>
      <c r="S508" s="317">
        <f t="shared" si="25"/>
        <v>50000</v>
      </c>
    </row>
    <row r="509" spans="13:19">
      <c r="M509" s="48" t="s">
        <v>1122</v>
      </c>
      <c r="N509" s="454">
        <v>245</v>
      </c>
      <c r="O509" s="48" t="s">
        <v>1117</v>
      </c>
      <c r="P509" s="48" t="s">
        <v>376</v>
      </c>
      <c r="Q509" s="48">
        <v>20</v>
      </c>
      <c r="R509" s="320">
        <v>1000</v>
      </c>
      <c r="S509" s="317">
        <f t="shared" si="25"/>
        <v>20000</v>
      </c>
    </row>
    <row r="510" spans="13:19">
      <c r="M510" s="48" t="s">
        <v>1122</v>
      </c>
      <c r="N510" s="454">
        <v>246</v>
      </c>
      <c r="O510" s="48" t="s">
        <v>394</v>
      </c>
      <c r="P510" s="48" t="s">
        <v>376</v>
      </c>
      <c r="Q510" s="48">
        <v>20</v>
      </c>
      <c r="R510" s="320">
        <v>1000</v>
      </c>
      <c r="S510" s="317">
        <f t="shared" si="25"/>
        <v>20000</v>
      </c>
    </row>
    <row r="511" spans="13:19">
      <c r="M511" s="48" t="s">
        <v>1122</v>
      </c>
      <c r="N511" s="454">
        <v>247</v>
      </c>
      <c r="O511" s="48" t="s">
        <v>1118</v>
      </c>
      <c r="P511" s="48" t="s">
        <v>376</v>
      </c>
      <c r="Q511" s="48">
        <v>15</v>
      </c>
      <c r="R511" s="320">
        <v>1000</v>
      </c>
      <c r="S511" s="317">
        <f t="shared" si="25"/>
        <v>15000</v>
      </c>
    </row>
    <row r="512" spans="13:19">
      <c r="M512" s="48" t="s">
        <v>1122</v>
      </c>
      <c r="N512" s="454">
        <v>248</v>
      </c>
      <c r="O512" s="48" t="s">
        <v>417</v>
      </c>
      <c r="P512" s="48" t="s">
        <v>376</v>
      </c>
      <c r="Q512" s="48">
        <v>5</v>
      </c>
      <c r="R512" s="320">
        <v>1000</v>
      </c>
      <c r="S512" s="317">
        <f t="shared" si="25"/>
        <v>5000</v>
      </c>
    </row>
    <row r="513" spans="13:19">
      <c r="M513" s="48" t="s">
        <v>1122</v>
      </c>
      <c r="N513" s="454">
        <v>249</v>
      </c>
      <c r="O513" s="48" t="s">
        <v>1090</v>
      </c>
      <c r="P513" s="48" t="s">
        <v>376</v>
      </c>
      <c r="Q513" s="48">
        <v>4</v>
      </c>
      <c r="R513" s="320">
        <v>1000</v>
      </c>
      <c r="S513" s="317">
        <f t="shared" ref="S513:S514" si="26">R513*Q513</f>
        <v>4000</v>
      </c>
    </row>
    <row r="514" spans="13:19">
      <c r="M514" s="48" t="s">
        <v>1122</v>
      </c>
      <c r="N514" s="454">
        <v>250</v>
      </c>
      <c r="O514" s="48" t="s">
        <v>1091</v>
      </c>
      <c r="P514" s="48" t="s">
        <v>406</v>
      </c>
      <c r="Q514" s="48">
        <v>3</v>
      </c>
      <c r="R514" s="320">
        <v>1000</v>
      </c>
      <c r="S514" s="317">
        <f t="shared" si="26"/>
        <v>3000</v>
      </c>
    </row>
    <row r="515" spans="13:19">
      <c r="M515" s="48" t="s">
        <v>1123</v>
      </c>
      <c r="N515" s="454">
        <v>251</v>
      </c>
      <c r="O515" s="48" t="s">
        <v>1416</v>
      </c>
      <c r="P515" s="48" t="s">
        <v>376</v>
      </c>
      <c r="Q515" s="48">
        <v>2</v>
      </c>
      <c r="R515" s="320">
        <v>1000</v>
      </c>
      <c r="S515" s="317">
        <f t="shared" ref="S515:S578" si="27">R515*Q515</f>
        <v>2000</v>
      </c>
    </row>
    <row r="516" spans="13:19">
      <c r="M516" s="48" t="s">
        <v>1123</v>
      </c>
      <c r="N516" s="454">
        <v>252</v>
      </c>
      <c r="O516" s="48" t="s">
        <v>556</v>
      </c>
      <c r="P516" s="48" t="s">
        <v>376</v>
      </c>
      <c r="Q516" s="48">
        <v>2</v>
      </c>
      <c r="R516" s="320">
        <v>1000</v>
      </c>
      <c r="S516" s="317">
        <f t="shared" si="27"/>
        <v>2000</v>
      </c>
    </row>
    <row r="517" spans="13:19">
      <c r="M517" s="48" t="s">
        <v>1123</v>
      </c>
      <c r="N517" s="454">
        <v>253</v>
      </c>
      <c r="O517" s="48" t="s">
        <v>1076</v>
      </c>
      <c r="P517" s="48" t="s">
        <v>376</v>
      </c>
      <c r="Q517" s="48">
        <v>4</v>
      </c>
      <c r="R517" s="320">
        <v>1000</v>
      </c>
      <c r="S517" s="317">
        <f t="shared" si="27"/>
        <v>4000</v>
      </c>
    </row>
    <row r="518" spans="13:19">
      <c r="M518" s="48" t="s">
        <v>1123</v>
      </c>
      <c r="N518" s="454">
        <v>254</v>
      </c>
      <c r="O518" s="48" t="s">
        <v>1417</v>
      </c>
      <c r="P518" s="48" t="s">
        <v>376</v>
      </c>
      <c r="Q518" s="48">
        <v>4</v>
      </c>
      <c r="R518" s="320">
        <v>1000</v>
      </c>
      <c r="S518" s="317">
        <f t="shared" si="27"/>
        <v>4000</v>
      </c>
    </row>
    <row r="519" spans="13:19">
      <c r="M519" s="48" t="s">
        <v>1123</v>
      </c>
      <c r="N519" s="454">
        <v>255</v>
      </c>
      <c r="O519" s="48" t="s">
        <v>1418</v>
      </c>
      <c r="P519" s="48" t="s">
        <v>376</v>
      </c>
      <c r="Q519" s="48">
        <v>4</v>
      </c>
      <c r="R519" s="320">
        <v>1000</v>
      </c>
      <c r="S519" s="317">
        <f t="shared" si="27"/>
        <v>4000</v>
      </c>
    </row>
    <row r="520" spans="13:19">
      <c r="M520" s="48" t="s">
        <v>1123</v>
      </c>
      <c r="N520" s="454">
        <v>256</v>
      </c>
      <c r="O520" s="48" t="s">
        <v>1079</v>
      </c>
      <c r="P520" s="48" t="s">
        <v>376</v>
      </c>
      <c r="Q520" s="48">
        <v>1</v>
      </c>
      <c r="R520" s="320">
        <v>1000</v>
      </c>
      <c r="S520" s="317">
        <f t="shared" si="27"/>
        <v>1000</v>
      </c>
    </row>
    <row r="521" spans="13:19">
      <c r="M521" s="48" t="s">
        <v>1123</v>
      </c>
      <c r="N521" s="454">
        <v>257</v>
      </c>
      <c r="O521" s="48" t="s">
        <v>1080</v>
      </c>
      <c r="P521" s="48" t="s">
        <v>376</v>
      </c>
      <c r="Q521" s="48">
        <v>4</v>
      </c>
      <c r="R521" s="320">
        <v>1000</v>
      </c>
      <c r="S521" s="317">
        <f t="shared" si="27"/>
        <v>4000</v>
      </c>
    </row>
    <row r="522" spans="13:19">
      <c r="M522" s="48" t="s">
        <v>1123</v>
      </c>
      <c r="N522" s="454">
        <v>258</v>
      </c>
      <c r="O522" s="48" t="s">
        <v>1083</v>
      </c>
      <c r="P522" s="48" t="s">
        <v>376</v>
      </c>
      <c r="Q522" s="48">
        <v>8</v>
      </c>
      <c r="R522" s="320">
        <v>1000</v>
      </c>
      <c r="S522" s="317">
        <f t="shared" si="27"/>
        <v>8000</v>
      </c>
    </row>
    <row r="523" spans="13:19">
      <c r="M523" s="48" t="s">
        <v>1123</v>
      </c>
      <c r="N523" s="454">
        <v>259</v>
      </c>
      <c r="O523" s="48" t="s">
        <v>1082</v>
      </c>
      <c r="P523" s="48" t="s">
        <v>376</v>
      </c>
      <c r="Q523" s="48">
        <v>8</v>
      </c>
      <c r="R523" s="320">
        <v>1000</v>
      </c>
      <c r="S523" s="317">
        <f t="shared" si="27"/>
        <v>8000</v>
      </c>
    </row>
    <row r="524" spans="13:19">
      <c r="M524" s="48" t="s">
        <v>1123</v>
      </c>
      <c r="N524" s="454">
        <v>260</v>
      </c>
      <c r="O524" s="48" t="s">
        <v>558</v>
      </c>
      <c r="P524" s="48" t="s">
        <v>376</v>
      </c>
      <c r="Q524" s="48">
        <v>2</v>
      </c>
      <c r="R524" s="320">
        <v>1000</v>
      </c>
      <c r="S524" s="317">
        <f t="shared" si="27"/>
        <v>2000</v>
      </c>
    </row>
    <row r="525" spans="13:19">
      <c r="M525" s="48" t="s">
        <v>1123</v>
      </c>
      <c r="N525" s="454">
        <v>261</v>
      </c>
      <c r="O525" s="48" t="s">
        <v>1419</v>
      </c>
      <c r="P525" s="48" t="s">
        <v>376</v>
      </c>
      <c r="Q525" s="48">
        <v>2</v>
      </c>
      <c r="R525" s="320">
        <v>1000</v>
      </c>
      <c r="S525" s="317">
        <f t="shared" si="27"/>
        <v>2000</v>
      </c>
    </row>
    <row r="526" spans="13:19">
      <c r="M526" s="48" t="s">
        <v>1123</v>
      </c>
      <c r="N526" s="454">
        <v>262</v>
      </c>
      <c r="O526" s="48" t="s">
        <v>1420</v>
      </c>
      <c r="P526" s="48" t="s">
        <v>401</v>
      </c>
      <c r="Q526" s="48">
        <v>1</v>
      </c>
      <c r="R526" s="320">
        <v>1000</v>
      </c>
      <c r="S526" s="317">
        <f t="shared" si="27"/>
        <v>1000</v>
      </c>
    </row>
    <row r="527" spans="13:19">
      <c r="M527" s="48" t="s">
        <v>1123</v>
      </c>
      <c r="N527" s="454">
        <v>263</v>
      </c>
      <c r="O527" s="48" t="s">
        <v>378</v>
      </c>
      <c r="P527" s="48" t="s">
        <v>376</v>
      </c>
      <c r="Q527" s="48">
        <v>10</v>
      </c>
      <c r="R527" s="320">
        <v>1000</v>
      </c>
      <c r="S527" s="317">
        <f t="shared" si="27"/>
        <v>10000</v>
      </c>
    </row>
    <row r="528" spans="13:19">
      <c r="M528" s="48" t="s">
        <v>1123</v>
      </c>
      <c r="N528" s="454">
        <v>264</v>
      </c>
      <c r="O528" s="48" t="s">
        <v>379</v>
      </c>
      <c r="P528" s="48" t="s">
        <v>376</v>
      </c>
      <c r="Q528" s="48">
        <v>5</v>
      </c>
      <c r="R528" s="320">
        <v>1000</v>
      </c>
      <c r="S528" s="317">
        <f t="shared" si="27"/>
        <v>5000</v>
      </c>
    </row>
    <row r="529" spans="13:19">
      <c r="M529" s="48" t="s">
        <v>1123</v>
      </c>
      <c r="N529" s="454">
        <v>265</v>
      </c>
      <c r="O529" s="48" t="s">
        <v>1072</v>
      </c>
      <c r="P529" s="48" t="s">
        <v>376</v>
      </c>
      <c r="Q529" s="48">
        <v>5</v>
      </c>
      <c r="R529" s="320">
        <v>1000</v>
      </c>
      <c r="S529" s="317">
        <f t="shared" si="27"/>
        <v>5000</v>
      </c>
    </row>
    <row r="530" spans="13:19">
      <c r="M530" s="48" t="s">
        <v>1123</v>
      </c>
      <c r="N530" s="454">
        <v>266</v>
      </c>
      <c r="O530" s="48" t="s">
        <v>1101</v>
      </c>
      <c r="P530" s="48" t="s">
        <v>376</v>
      </c>
      <c r="Q530" s="48">
        <v>3</v>
      </c>
      <c r="R530" s="320">
        <v>1000</v>
      </c>
      <c r="S530" s="317">
        <f t="shared" si="27"/>
        <v>3000</v>
      </c>
    </row>
    <row r="531" spans="13:19">
      <c r="M531" s="48" t="s">
        <v>1123</v>
      </c>
      <c r="N531" s="454">
        <v>267</v>
      </c>
      <c r="O531" s="48" t="s">
        <v>1421</v>
      </c>
      <c r="P531" s="48" t="s">
        <v>406</v>
      </c>
      <c r="Q531" s="48">
        <v>5</v>
      </c>
      <c r="R531" s="320">
        <v>1000</v>
      </c>
      <c r="S531" s="317">
        <f t="shared" si="27"/>
        <v>5000</v>
      </c>
    </row>
    <row r="532" spans="13:19">
      <c r="M532" s="48" t="s">
        <v>1123</v>
      </c>
      <c r="N532" s="454">
        <v>268</v>
      </c>
      <c r="O532" s="48" t="s">
        <v>1422</v>
      </c>
      <c r="P532" s="48" t="s">
        <v>406</v>
      </c>
      <c r="Q532" s="48">
        <v>1</v>
      </c>
      <c r="R532" s="320">
        <v>1000</v>
      </c>
      <c r="S532" s="317">
        <f t="shared" si="27"/>
        <v>1000</v>
      </c>
    </row>
    <row r="533" spans="13:19">
      <c r="M533" s="48" t="s">
        <v>1123</v>
      </c>
      <c r="N533" s="454">
        <v>269</v>
      </c>
      <c r="O533" s="48" t="s">
        <v>408</v>
      </c>
      <c r="P533" s="48" t="s">
        <v>376</v>
      </c>
      <c r="Q533" s="48">
        <v>2</v>
      </c>
      <c r="R533" s="320">
        <v>1000</v>
      </c>
      <c r="S533" s="317">
        <f t="shared" si="27"/>
        <v>2000</v>
      </c>
    </row>
    <row r="534" spans="13:19">
      <c r="M534" s="48" t="s">
        <v>1123</v>
      </c>
      <c r="N534" s="454">
        <v>270</v>
      </c>
      <c r="O534" s="48" t="s">
        <v>1423</v>
      </c>
      <c r="P534" s="48" t="s">
        <v>376</v>
      </c>
      <c r="Q534" s="48">
        <v>20</v>
      </c>
      <c r="R534" s="320">
        <v>1000</v>
      </c>
      <c r="S534" s="317">
        <f t="shared" si="27"/>
        <v>20000</v>
      </c>
    </row>
    <row r="535" spans="13:19">
      <c r="M535" s="48" t="s">
        <v>1123</v>
      </c>
      <c r="N535" s="454">
        <v>271</v>
      </c>
      <c r="O535" s="48" t="s">
        <v>1119</v>
      </c>
      <c r="P535" s="48" t="s">
        <v>376</v>
      </c>
      <c r="Q535" s="48">
        <v>15</v>
      </c>
      <c r="R535" s="320">
        <v>1000</v>
      </c>
      <c r="S535" s="317">
        <f t="shared" si="27"/>
        <v>15000</v>
      </c>
    </row>
    <row r="536" spans="13:19">
      <c r="M536" s="48" t="s">
        <v>1123</v>
      </c>
      <c r="N536" s="454">
        <v>272</v>
      </c>
      <c r="O536" s="48" t="s">
        <v>1424</v>
      </c>
      <c r="P536" s="48" t="s">
        <v>376</v>
      </c>
      <c r="Q536" s="48">
        <v>4</v>
      </c>
      <c r="R536" s="320">
        <v>1000</v>
      </c>
      <c r="S536" s="317">
        <f t="shared" si="27"/>
        <v>4000</v>
      </c>
    </row>
    <row r="537" spans="13:19">
      <c r="M537" s="48" t="s">
        <v>1123</v>
      </c>
      <c r="N537" s="454">
        <v>273</v>
      </c>
      <c r="O537" s="48" t="s">
        <v>1103</v>
      </c>
      <c r="P537" s="48" t="s">
        <v>376</v>
      </c>
      <c r="Q537" s="48">
        <v>2</v>
      </c>
      <c r="R537" s="320">
        <v>1000</v>
      </c>
      <c r="S537" s="317">
        <f t="shared" si="27"/>
        <v>2000</v>
      </c>
    </row>
    <row r="538" spans="13:19">
      <c r="M538" s="48" t="s">
        <v>1123</v>
      </c>
      <c r="N538" s="454">
        <v>274</v>
      </c>
      <c r="O538" s="48" t="s">
        <v>1425</v>
      </c>
      <c r="P538" s="48" t="s">
        <v>406</v>
      </c>
      <c r="Q538" s="48">
        <v>1</v>
      </c>
      <c r="R538" s="320">
        <v>1000</v>
      </c>
      <c r="S538" s="317">
        <f t="shared" si="27"/>
        <v>1000</v>
      </c>
    </row>
    <row r="539" spans="13:19">
      <c r="M539" s="48" t="s">
        <v>1123</v>
      </c>
      <c r="N539" s="454">
        <v>275</v>
      </c>
      <c r="O539" s="48" t="s">
        <v>1104</v>
      </c>
      <c r="P539" s="48" t="s">
        <v>406</v>
      </c>
      <c r="Q539" s="48">
        <v>10</v>
      </c>
      <c r="R539" s="320">
        <v>1000</v>
      </c>
      <c r="S539" s="317">
        <f t="shared" si="27"/>
        <v>10000</v>
      </c>
    </row>
    <row r="540" spans="13:19">
      <c r="M540" s="48" t="s">
        <v>1123</v>
      </c>
      <c r="N540" s="454">
        <v>276</v>
      </c>
      <c r="O540" s="48" t="s">
        <v>1088</v>
      </c>
      <c r="P540" s="48" t="s">
        <v>406</v>
      </c>
      <c r="Q540" s="48">
        <v>5</v>
      </c>
      <c r="R540" s="320">
        <v>1000</v>
      </c>
      <c r="S540" s="317">
        <f t="shared" si="27"/>
        <v>5000</v>
      </c>
    </row>
    <row r="541" spans="13:19">
      <c r="M541" s="48" t="s">
        <v>1123</v>
      </c>
      <c r="N541" s="454">
        <v>277</v>
      </c>
      <c r="O541" s="48" t="s">
        <v>1089</v>
      </c>
      <c r="P541" s="48" t="s">
        <v>376</v>
      </c>
      <c r="Q541" s="48">
        <v>5</v>
      </c>
      <c r="R541" s="320">
        <v>1000</v>
      </c>
      <c r="S541" s="317">
        <f t="shared" si="27"/>
        <v>5000</v>
      </c>
    </row>
    <row r="542" spans="13:19">
      <c r="M542" s="48" t="s">
        <v>1123</v>
      </c>
      <c r="N542" s="454">
        <v>278</v>
      </c>
      <c r="O542" s="48" t="s">
        <v>1105</v>
      </c>
      <c r="P542" s="48" t="s">
        <v>376</v>
      </c>
      <c r="Q542" s="48">
        <v>5</v>
      </c>
      <c r="R542" s="320">
        <v>1000</v>
      </c>
      <c r="S542" s="317">
        <f t="shared" si="27"/>
        <v>5000</v>
      </c>
    </row>
    <row r="543" spans="13:19">
      <c r="M543" s="48" t="s">
        <v>1123</v>
      </c>
      <c r="N543" s="454">
        <v>279</v>
      </c>
      <c r="O543" s="48" t="s">
        <v>608</v>
      </c>
      <c r="P543" s="48" t="s">
        <v>376</v>
      </c>
      <c r="Q543" s="48">
        <v>5</v>
      </c>
      <c r="R543" s="320">
        <v>1000</v>
      </c>
      <c r="S543" s="317">
        <f t="shared" si="27"/>
        <v>5000</v>
      </c>
    </row>
    <row r="544" spans="13:19">
      <c r="M544" s="48" t="s">
        <v>1123</v>
      </c>
      <c r="N544" s="454">
        <v>280</v>
      </c>
      <c r="O544" s="48" t="s">
        <v>1426</v>
      </c>
      <c r="P544" s="48" t="s">
        <v>376</v>
      </c>
      <c r="Q544" s="48">
        <v>20</v>
      </c>
      <c r="R544" s="320">
        <v>1000</v>
      </c>
      <c r="S544" s="317">
        <f t="shared" si="27"/>
        <v>20000</v>
      </c>
    </row>
    <row r="545" spans="13:19">
      <c r="M545" s="48" t="s">
        <v>1123</v>
      </c>
      <c r="N545" s="454">
        <v>281</v>
      </c>
      <c r="O545" s="48" t="s">
        <v>1427</v>
      </c>
      <c r="P545" s="48" t="s">
        <v>376</v>
      </c>
      <c r="Q545" s="48">
        <v>20</v>
      </c>
      <c r="R545" s="320">
        <v>1000</v>
      </c>
      <c r="S545" s="317">
        <f t="shared" si="27"/>
        <v>20000</v>
      </c>
    </row>
    <row r="546" spans="13:19">
      <c r="M546" s="48" t="s">
        <v>1123</v>
      </c>
      <c r="N546" s="454">
        <v>282</v>
      </c>
      <c r="O546" s="48" t="s">
        <v>1428</v>
      </c>
      <c r="P546" s="48" t="s">
        <v>376</v>
      </c>
      <c r="Q546" s="48">
        <v>20</v>
      </c>
      <c r="R546" s="320">
        <v>1000</v>
      </c>
      <c r="S546" s="317">
        <f t="shared" si="27"/>
        <v>20000</v>
      </c>
    </row>
    <row r="547" spans="13:19">
      <c r="M547" s="48" t="s">
        <v>1123</v>
      </c>
      <c r="N547" s="454">
        <v>283</v>
      </c>
      <c r="O547" s="48" t="s">
        <v>1109</v>
      </c>
      <c r="P547" s="48" t="s">
        <v>376</v>
      </c>
      <c r="Q547" s="48">
        <v>10</v>
      </c>
      <c r="R547" s="320">
        <v>1000</v>
      </c>
      <c r="S547" s="317">
        <f t="shared" si="27"/>
        <v>10000</v>
      </c>
    </row>
    <row r="548" spans="13:19">
      <c r="M548" s="48" t="s">
        <v>1123</v>
      </c>
      <c r="N548" s="454">
        <v>284</v>
      </c>
      <c r="O548" s="48" t="s">
        <v>403</v>
      </c>
      <c r="P548" s="48" t="s">
        <v>376</v>
      </c>
      <c r="Q548" s="48">
        <v>2</v>
      </c>
      <c r="R548" s="320">
        <v>1000</v>
      </c>
      <c r="S548" s="317">
        <f t="shared" si="27"/>
        <v>2000</v>
      </c>
    </row>
    <row r="549" spans="13:19">
      <c r="M549" s="48" t="s">
        <v>1123</v>
      </c>
      <c r="N549" s="454">
        <v>285</v>
      </c>
      <c r="O549" s="48" t="s">
        <v>1429</v>
      </c>
      <c r="P549" s="48" t="s">
        <v>376</v>
      </c>
      <c r="Q549" s="48">
        <v>2</v>
      </c>
      <c r="R549" s="320">
        <v>1000</v>
      </c>
      <c r="S549" s="317">
        <f t="shared" si="27"/>
        <v>2000</v>
      </c>
    </row>
    <row r="550" spans="13:19">
      <c r="M550" s="48" t="s">
        <v>1123</v>
      </c>
      <c r="N550" s="454">
        <v>286</v>
      </c>
      <c r="O550" s="48" t="s">
        <v>625</v>
      </c>
      <c r="P550" s="48" t="s">
        <v>376</v>
      </c>
      <c r="Q550" s="48">
        <v>2</v>
      </c>
      <c r="R550" s="320">
        <v>1000</v>
      </c>
      <c r="S550" s="317">
        <f t="shared" si="27"/>
        <v>2000</v>
      </c>
    </row>
    <row r="551" spans="13:19">
      <c r="M551" s="48" t="s">
        <v>1123</v>
      </c>
      <c r="N551" s="454">
        <v>287</v>
      </c>
      <c r="O551" s="48" t="s">
        <v>389</v>
      </c>
      <c r="P551" s="48" t="s">
        <v>376</v>
      </c>
      <c r="Q551" s="48">
        <v>4</v>
      </c>
      <c r="R551" s="320">
        <v>1000</v>
      </c>
      <c r="S551" s="317">
        <f t="shared" si="27"/>
        <v>4000</v>
      </c>
    </row>
    <row r="552" spans="13:19">
      <c r="M552" s="48" t="s">
        <v>1123</v>
      </c>
      <c r="N552" s="454">
        <v>288</v>
      </c>
      <c r="O552" s="48" t="s">
        <v>1120</v>
      </c>
      <c r="P552" s="48" t="s">
        <v>376</v>
      </c>
      <c r="Q552" s="48">
        <v>4</v>
      </c>
      <c r="R552" s="320">
        <v>1000</v>
      </c>
      <c r="S552" s="317">
        <f t="shared" si="27"/>
        <v>4000</v>
      </c>
    </row>
    <row r="553" spans="13:19">
      <c r="M553" s="48" t="s">
        <v>1123</v>
      </c>
      <c r="N553" s="454">
        <v>289</v>
      </c>
      <c r="O553" s="48" t="s">
        <v>1430</v>
      </c>
      <c r="P553" s="48" t="s">
        <v>376</v>
      </c>
      <c r="Q553" s="48">
        <v>10</v>
      </c>
      <c r="R553" s="320">
        <v>1000</v>
      </c>
      <c r="S553" s="317">
        <f t="shared" si="27"/>
        <v>10000</v>
      </c>
    </row>
    <row r="554" spans="13:19">
      <c r="M554" s="48" t="s">
        <v>1123</v>
      </c>
      <c r="N554" s="454">
        <v>290</v>
      </c>
      <c r="O554" s="48" t="s">
        <v>1112</v>
      </c>
      <c r="P554" s="48" t="s">
        <v>528</v>
      </c>
      <c r="Q554" s="48">
        <v>50</v>
      </c>
      <c r="R554" s="320">
        <v>1000</v>
      </c>
      <c r="S554" s="317">
        <f t="shared" si="27"/>
        <v>50000</v>
      </c>
    </row>
    <row r="555" spans="13:19">
      <c r="M555" s="48" t="s">
        <v>1123</v>
      </c>
      <c r="N555" s="454">
        <v>291</v>
      </c>
      <c r="O555" s="48" t="s">
        <v>1431</v>
      </c>
      <c r="P555" s="48" t="s">
        <v>376</v>
      </c>
      <c r="Q555" s="48">
        <v>1</v>
      </c>
      <c r="R555" s="320">
        <v>1000</v>
      </c>
      <c r="S555" s="317">
        <f t="shared" si="27"/>
        <v>1000</v>
      </c>
    </row>
    <row r="556" spans="13:19">
      <c r="M556" s="48" t="s">
        <v>1123</v>
      </c>
      <c r="N556" s="454">
        <v>292</v>
      </c>
      <c r="O556" s="48" t="s">
        <v>632</v>
      </c>
      <c r="P556" s="48" t="s">
        <v>376</v>
      </c>
      <c r="Q556" s="48">
        <v>1</v>
      </c>
      <c r="R556" s="320">
        <v>1000</v>
      </c>
      <c r="S556" s="317">
        <f t="shared" si="27"/>
        <v>1000</v>
      </c>
    </row>
    <row r="557" spans="13:19">
      <c r="M557" s="48" t="s">
        <v>1123</v>
      </c>
      <c r="N557" s="454">
        <v>293</v>
      </c>
      <c r="O557" s="48" t="s">
        <v>1115</v>
      </c>
      <c r="P557" s="48" t="s">
        <v>376</v>
      </c>
      <c r="Q557" s="48">
        <v>4</v>
      </c>
      <c r="R557" s="320">
        <v>1000</v>
      </c>
      <c r="S557" s="317">
        <f t="shared" si="27"/>
        <v>4000</v>
      </c>
    </row>
    <row r="558" spans="13:19">
      <c r="M558" s="48" t="s">
        <v>1123</v>
      </c>
      <c r="N558" s="454">
        <v>294</v>
      </c>
      <c r="O558" s="48" t="s">
        <v>635</v>
      </c>
      <c r="P558" s="48" t="s">
        <v>376</v>
      </c>
      <c r="Q558" s="48">
        <v>2</v>
      </c>
      <c r="R558" s="320">
        <v>1000</v>
      </c>
      <c r="S558" s="317">
        <f t="shared" si="27"/>
        <v>2000</v>
      </c>
    </row>
    <row r="559" spans="13:19">
      <c r="M559" s="48" t="s">
        <v>1123</v>
      </c>
      <c r="N559" s="454">
        <v>295</v>
      </c>
      <c r="O559" s="48" t="s">
        <v>413</v>
      </c>
      <c r="P559" s="48" t="s">
        <v>376</v>
      </c>
      <c r="Q559" s="48">
        <v>2</v>
      </c>
      <c r="R559" s="320">
        <v>1000</v>
      </c>
      <c r="S559" s="317">
        <f t="shared" si="27"/>
        <v>2000</v>
      </c>
    </row>
    <row r="560" spans="13:19">
      <c r="M560" s="48" t="s">
        <v>1123</v>
      </c>
      <c r="N560" s="454">
        <v>296</v>
      </c>
      <c r="O560" s="48" t="s">
        <v>1432</v>
      </c>
      <c r="P560" s="48" t="s">
        <v>376</v>
      </c>
      <c r="Q560" s="48">
        <v>2</v>
      </c>
      <c r="R560" s="320">
        <v>1000</v>
      </c>
      <c r="S560" s="317">
        <f t="shared" si="27"/>
        <v>2000</v>
      </c>
    </row>
    <row r="561" spans="13:19">
      <c r="M561" s="48" t="s">
        <v>1123</v>
      </c>
      <c r="N561" s="454">
        <v>297</v>
      </c>
      <c r="O561" s="48" t="s">
        <v>621</v>
      </c>
      <c r="P561" s="48" t="s">
        <v>376</v>
      </c>
      <c r="Q561" s="48">
        <v>4</v>
      </c>
      <c r="R561" s="320">
        <v>1000</v>
      </c>
      <c r="S561" s="317">
        <f t="shared" si="27"/>
        <v>4000</v>
      </c>
    </row>
    <row r="562" spans="13:19">
      <c r="M562" s="48" t="s">
        <v>1123</v>
      </c>
      <c r="N562" s="454">
        <v>298</v>
      </c>
      <c r="O562" s="48" t="s">
        <v>384</v>
      </c>
      <c r="P562" s="48" t="s">
        <v>376</v>
      </c>
      <c r="Q562" s="48">
        <v>4</v>
      </c>
      <c r="R562" s="320">
        <v>1000</v>
      </c>
      <c r="S562" s="317">
        <f t="shared" si="27"/>
        <v>4000</v>
      </c>
    </row>
    <row r="563" spans="13:19">
      <c r="M563" s="48" t="s">
        <v>1123</v>
      </c>
      <c r="N563" s="454">
        <v>299</v>
      </c>
      <c r="O563" s="48" t="s">
        <v>1057</v>
      </c>
      <c r="P563" s="48" t="s">
        <v>376</v>
      </c>
      <c r="Q563" s="48">
        <v>4</v>
      </c>
      <c r="R563" s="320">
        <v>1000</v>
      </c>
      <c r="S563" s="317">
        <f t="shared" si="27"/>
        <v>4000</v>
      </c>
    </row>
    <row r="564" spans="13:19">
      <c r="M564" s="48" t="s">
        <v>1123</v>
      </c>
      <c r="N564" s="454">
        <v>300</v>
      </c>
      <c r="O564" s="48" t="s">
        <v>1433</v>
      </c>
      <c r="P564" s="48" t="s">
        <v>528</v>
      </c>
      <c r="Q564" s="48">
        <v>20</v>
      </c>
      <c r="R564" s="320">
        <v>1000</v>
      </c>
      <c r="S564" s="317">
        <f t="shared" si="27"/>
        <v>20000</v>
      </c>
    </row>
    <row r="565" spans="13:19">
      <c r="M565" s="48" t="s">
        <v>1123</v>
      </c>
      <c r="N565" s="454">
        <v>301</v>
      </c>
      <c r="O565" s="48" t="s">
        <v>560</v>
      </c>
      <c r="P565" s="48" t="s">
        <v>376</v>
      </c>
      <c r="Q565" s="48">
        <v>10</v>
      </c>
      <c r="R565" s="320">
        <v>1000</v>
      </c>
      <c r="S565" s="317">
        <f t="shared" si="27"/>
        <v>10000</v>
      </c>
    </row>
    <row r="566" spans="13:19">
      <c r="M566" s="48" t="s">
        <v>1123</v>
      </c>
      <c r="N566" s="454">
        <v>302</v>
      </c>
      <c r="O566" s="48" t="s">
        <v>1434</v>
      </c>
      <c r="P566" s="48" t="s">
        <v>406</v>
      </c>
      <c r="Q566" s="48">
        <v>5</v>
      </c>
      <c r="R566" s="320">
        <v>1000</v>
      </c>
      <c r="S566" s="317">
        <f t="shared" si="27"/>
        <v>5000</v>
      </c>
    </row>
    <row r="567" spans="13:19">
      <c r="M567" s="48" t="s">
        <v>1123</v>
      </c>
      <c r="N567" s="454">
        <v>303</v>
      </c>
      <c r="O567" s="48" t="s">
        <v>491</v>
      </c>
      <c r="P567" s="48" t="s">
        <v>376</v>
      </c>
      <c r="Q567" s="48">
        <v>500</v>
      </c>
      <c r="R567" s="320">
        <v>1000</v>
      </c>
      <c r="S567" s="317">
        <f t="shared" si="27"/>
        <v>500000</v>
      </c>
    </row>
    <row r="568" spans="13:19">
      <c r="M568" s="48" t="s">
        <v>1123</v>
      </c>
      <c r="N568" s="454">
        <v>304</v>
      </c>
      <c r="O568" s="48" t="s">
        <v>1435</v>
      </c>
      <c r="P568" s="48" t="s">
        <v>376</v>
      </c>
      <c r="Q568" s="48">
        <v>1</v>
      </c>
      <c r="R568" s="320">
        <v>1000</v>
      </c>
      <c r="S568" s="317">
        <f t="shared" si="27"/>
        <v>1000</v>
      </c>
    </row>
    <row r="569" spans="13:19">
      <c r="M569" s="48" t="s">
        <v>1123</v>
      </c>
      <c r="N569" s="454">
        <v>305</v>
      </c>
      <c r="O569" s="48" t="s">
        <v>415</v>
      </c>
      <c r="P569" s="48" t="s">
        <v>376</v>
      </c>
      <c r="Q569" s="48">
        <v>6</v>
      </c>
      <c r="R569" s="320">
        <v>1000</v>
      </c>
      <c r="S569" s="317">
        <f t="shared" si="27"/>
        <v>6000</v>
      </c>
    </row>
    <row r="570" spans="13:19">
      <c r="M570" s="48" t="s">
        <v>1123</v>
      </c>
      <c r="N570" s="454">
        <v>306</v>
      </c>
      <c r="O570" s="48" t="s">
        <v>1436</v>
      </c>
      <c r="P570" s="48" t="s">
        <v>376</v>
      </c>
      <c r="Q570" s="48">
        <v>2</v>
      </c>
      <c r="R570" s="320">
        <v>1000</v>
      </c>
      <c r="S570" s="317">
        <f t="shared" si="27"/>
        <v>2000</v>
      </c>
    </row>
    <row r="571" spans="13:19">
      <c r="M571" s="48" t="s">
        <v>1123</v>
      </c>
      <c r="N571" s="454">
        <v>307</v>
      </c>
      <c r="O571" s="48" t="s">
        <v>383</v>
      </c>
      <c r="P571" s="48" t="s">
        <v>376</v>
      </c>
      <c r="Q571" s="48">
        <v>90</v>
      </c>
      <c r="R571" s="320">
        <v>1000</v>
      </c>
      <c r="S571" s="317">
        <f t="shared" si="27"/>
        <v>90000</v>
      </c>
    </row>
    <row r="572" spans="13:19">
      <c r="M572" s="48" t="s">
        <v>1123</v>
      </c>
      <c r="N572" s="454">
        <v>308</v>
      </c>
      <c r="O572" s="48" t="s">
        <v>604</v>
      </c>
      <c r="P572" s="48" t="s">
        <v>376</v>
      </c>
      <c r="Q572" s="48">
        <v>90</v>
      </c>
      <c r="R572" s="320">
        <v>1000</v>
      </c>
      <c r="S572" s="317">
        <f t="shared" si="27"/>
        <v>90000</v>
      </c>
    </row>
    <row r="573" spans="13:19">
      <c r="M573" s="48" t="s">
        <v>1123</v>
      </c>
      <c r="N573" s="454">
        <v>309</v>
      </c>
      <c r="O573" s="48" t="s">
        <v>395</v>
      </c>
      <c r="P573" s="48" t="s">
        <v>376</v>
      </c>
      <c r="Q573" s="48">
        <v>40</v>
      </c>
      <c r="R573" s="320">
        <v>1000</v>
      </c>
      <c r="S573" s="317">
        <f t="shared" si="27"/>
        <v>40000</v>
      </c>
    </row>
    <row r="574" spans="13:19">
      <c r="M574" s="48" t="s">
        <v>1123</v>
      </c>
      <c r="N574" s="454">
        <v>310</v>
      </c>
      <c r="O574" s="48" t="s">
        <v>396</v>
      </c>
      <c r="P574" s="48" t="s">
        <v>376</v>
      </c>
      <c r="Q574" s="48">
        <v>80</v>
      </c>
      <c r="R574" s="320">
        <v>1000</v>
      </c>
      <c r="S574" s="317">
        <f t="shared" si="27"/>
        <v>80000</v>
      </c>
    </row>
    <row r="575" spans="13:19">
      <c r="M575" s="48" t="s">
        <v>1123</v>
      </c>
      <c r="N575" s="454">
        <v>311</v>
      </c>
      <c r="O575" s="48" t="s">
        <v>617</v>
      </c>
      <c r="P575" s="48" t="s">
        <v>376</v>
      </c>
      <c r="Q575" s="48">
        <v>80</v>
      </c>
      <c r="R575" s="320">
        <v>1000</v>
      </c>
      <c r="S575" s="317">
        <f t="shared" si="27"/>
        <v>80000</v>
      </c>
    </row>
    <row r="576" spans="13:19">
      <c r="M576" s="48" t="s">
        <v>1123</v>
      </c>
      <c r="N576" s="454">
        <v>312</v>
      </c>
      <c r="O576" s="48" t="s">
        <v>399</v>
      </c>
      <c r="P576" s="48" t="s">
        <v>376</v>
      </c>
      <c r="Q576" s="48">
        <v>2</v>
      </c>
      <c r="R576" s="320">
        <v>1000</v>
      </c>
      <c r="S576" s="317">
        <f t="shared" si="27"/>
        <v>2000</v>
      </c>
    </row>
    <row r="577" spans="13:19">
      <c r="M577" s="48" t="s">
        <v>1123</v>
      </c>
      <c r="N577" s="454">
        <v>313</v>
      </c>
      <c r="O577" s="48" t="s">
        <v>394</v>
      </c>
      <c r="P577" s="48" t="s">
        <v>376</v>
      </c>
      <c r="Q577" s="48">
        <v>10</v>
      </c>
      <c r="R577" s="320">
        <v>1000</v>
      </c>
      <c r="S577" s="317">
        <f t="shared" si="27"/>
        <v>10000</v>
      </c>
    </row>
    <row r="578" spans="13:19">
      <c r="M578" s="48" t="s">
        <v>1123</v>
      </c>
      <c r="N578" s="454">
        <v>314</v>
      </c>
      <c r="O578" s="48" t="s">
        <v>1118</v>
      </c>
      <c r="P578" s="48" t="s">
        <v>376</v>
      </c>
      <c r="Q578" s="48">
        <v>3</v>
      </c>
      <c r="R578" s="320">
        <v>1000</v>
      </c>
      <c r="S578" s="317">
        <f t="shared" si="27"/>
        <v>3000</v>
      </c>
    </row>
    <row r="579" spans="13:19">
      <c r="M579" s="48" t="s">
        <v>1123</v>
      </c>
      <c r="N579" s="454">
        <v>315</v>
      </c>
      <c r="O579" s="48" t="s">
        <v>1114</v>
      </c>
      <c r="P579" s="48" t="s">
        <v>376</v>
      </c>
      <c r="Q579" s="48">
        <v>2</v>
      </c>
      <c r="R579" s="320">
        <v>1000</v>
      </c>
      <c r="S579" s="317">
        <f t="shared" ref="S579:S642" si="28">R579*Q579</f>
        <v>2000</v>
      </c>
    </row>
    <row r="580" spans="13:19">
      <c r="M580" s="48" t="s">
        <v>1123</v>
      </c>
      <c r="N580" s="454">
        <v>316</v>
      </c>
      <c r="O580" s="48" t="s">
        <v>1437</v>
      </c>
      <c r="P580" s="48" t="s">
        <v>376</v>
      </c>
      <c r="Q580" s="48">
        <v>10</v>
      </c>
      <c r="R580" s="320">
        <v>1000</v>
      </c>
      <c r="S580" s="317">
        <f t="shared" si="28"/>
        <v>10000</v>
      </c>
    </row>
    <row r="581" spans="13:19">
      <c r="M581" s="48" t="s">
        <v>1123</v>
      </c>
      <c r="N581" s="454">
        <v>317</v>
      </c>
      <c r="O581" s="48" t="s">
        <v>1438</v>
      </c>
      <c r="P581" s="48" t="s">
        <v>376</v>
      </c>
      <c r="Q581" s="48">
        <v>45</v>
      </c>
      <c r="R581" s="320">
        <v>1000</v>
      </c>
      <c r="S581" s="317">
        <f t="shared" si="28"/>
        <v>45000</v>
      </c>
    </row>
    <row r="582" spans="13:19">
      <c r="M582" s="48" t="s">
        <v>1123</v>
      </c>
      <c r="N582" s="454">
        <v>318</v>
      </c>
      <c r="O582" s="48" t="s">
        <v>1439</v>
      </c>
      <c r="P582" s="48" t="s">
        <v>376</v>
      </c>
      <c r="Q582" s="48">
        <v>45</v>
      </c>
      <c r="R582" s="320">
        <v>1000</v>
      </c>
      <c r="S582" s="317">
        <f t="shared" si="28"/>
        <v>45000</v>
      </c>
    </row>
    <row r="583" spans="13:19">
      <c r="M583" s="48" t="s">
        <v>1123</v>
      </c>
      <c r="N583" s="454">
        <v>319</v>
      </c>
      <c r="O583" s="48" t="s">
        <v>614</v>
      </c>
      <c r="P583" s="48" t="s">
        <v>376</v>
      </c>
      <c r="Q583" s="48">
        <v>90</v>
      </c>
      <c r="R583" s="320">
        <v>1000</v>
      </c>
      <c r="S583" s="317">
        <f t="shared" si="28"/>
        <v>90000</v>
      </c>
    </row>
    <row r="584" spans="13:19">
      <c r="M584" s="48" t="s">
        <v>1123</v>
      </c>
      <c r="N584" s="454">
        <v>320</v>
      </c>
      <c r="O584" s="48" t="s">
        <v>464</v>
      </c>
      <c r="P584" s="48" t="s">
        <v>376</v>
      </c>
      <c r="Q584" s="48">
        <v>6</v>
      </c>
      <c r="R584" s="320">
        <v>1000</v>
      </c>
      <c r="S584" s="317">
        <f t="shared" si="28"/>
        <v>6000</v>
      </c>
    </row>
    <row r="585" spans="13:19">
      <c r="M585" s="48" t="s">
        <v>1123</v>
      </c>
      <c r="N585" s="454">
        <v>321</v>
      </c>
      <c r="O585" s="48" t="s">
        <v>465</v>
      </c>
      <c r="P585" s="48" t="s">
        <v>376</v>
      </c>
      <c r="Q585" s="48">
        <v>5</v>
      </c>
      <c r="R585" s="320">
        <v>1000</v>
      </c>
      <c r="S585" s="317">
        <f t="shared" si="28"/>
        <v>5000</v>
      </c>
    </row>
    <row r="586" spans="13:19">
      <c r="M586" s="48" t="s">
        <v>1123</v>
      </c>
      <c r="N586" s="454">
        <v>322</v>
      </c>
      <c r="O586" s="48" t="s">
        <v>1090</v>
      </c>
      <c r="P586" s="48" t="s">
        <v>376</v>
      </c>
      <c r="Q586" s="48">
        <v>3</v>
      </c>
      <c r="R586" s="320">
        <v>1000</v>
      </c>
      <c r="S586" s="317">
        <f t="shared" si="28"/>
        <v>3000</v>
      </c>
    </row>
    <row r="587" spans="13:19">
      <c r="M587" s="48" t="s">
        <v>1123</v>
      </c>
      <c r="N587" s="454">
        <v>323</v>
      </c>
      <c r="O587" s="48" t="s">
        <v>1091</v>
      </c>
      <c r="P587" s="48" t="s">
        <v>406</v>
      </c>
      <c r="Q587" s="48">
        <v>2</v>
      </c>
      <c r="R587" s="320">
        <v>1000</v>
      </c>
      <c r="S587" s="317">
        <f t="shared" si="28"/>
        <v>2000</v>
      </c>
    </row>
    <row r="588" spans="13:19">
      <c r="M588" s="48" t="s">
        <v>1123</v>
      </c>
      <c r="N588" s="454">
        <v>324</v>
      </c>
      <c r="O588" s="48" t="s">
        <v>1440</v>
      </c>
      <c r="R588" s="320">
        <v>1000</v>
      </c>
      <c r="S588" s="317">
        <f t="shared" si="28"/>
        <v>0</v>
      </c>
    </row>
    <row r="589" spans="13:19">
      <c r="M589" s="48" t="s">
        <v>1123</v>
      </c>
      <c r="N589" s="454">
        <v>325</v>
      </c>
      <c r="O589" s="48" t="s">
        <v>1441</v>
      </c>
      <c r="P589" s="48" t="s">
        <v>406</v>
      </c>
      <c r="Q589" s="48">
        <v>4</v>
      </c>
      <c r="R589" s="320">
        <v>1000</v>
      </c>
      <c r="S589" s="317">
        <f t="shared" si="28"/>
        <v>4000</v>
      </c>
    </row>
    <row r="590" spans="13:19">
      <c r="M590" s="48" t="s">
        <v>1123</v>
      </c>
      <c r="N590" s="454">
        <v>326</v>
      </c>
      <c r="O590" s="48" t="s">
        <v>1442</v>
      </c>
      <c r="P590" s="48" t="s">
        <v>376</v>
      </c>
      <c r="Q590" s="48">
        <v>6</v>
      </c>
      <c r="R590" s="320">
        <v>1000</v>
      </c>
      <c r="S590" s="317">
        <f t="shared" si="28"/>
        <v>6000</v>
      </c>
    </row>
    <row r="591" spans="13:19">
      <c r="M591" s="48" t="s">
        <v>1123</v>
      </c>
      <c r="N591" s="454">
        <v>327</v>
      </c>
      <c r="O591" s="48" t="s">
        <v>1076</v>
      </c>
      <c r="P591" s="48" t="s">
        <v>376</v>
      </c>
      <c r="Q591" s="48">
        <v>8</v>
      </c>
      <c r="R591" s="320">
        <v>1000</v>
      </c>
      <c r="S591" s="317">
        <f t="shared" si="28"/>
        <v>8000</v>
      </c>
    </row>
    <row r="592" spans="13:19">
      <c r="M592" s="48" t="s">
        <v>1123</v>
      </c>
      <c r="N592" s="454">
        <v>328</v>
      </c>
      <c r="O592" s="48" t="s">
        <v>1443</v>
      </c>
      <c r="P592" s="48" t="s">
        <v>376</v>
      </c>
      <c r="Q592" s="48">
        <v>8</v>
      </c>
      <c r="R592" s="320">
        <v>1000</v>
      </c>
      <c r="S592" s="317">
        <f t="shared" si="28"/>
        <v>8000</v>
      </c>
    </row>
    <row r="593" spans="13:19">
      <c r="M593" s="48" t="s">
        <v>1123</v>
      </c>
      <c r="N593" s="454">
        <v>329</v>
      </c>
      <c r="O593" s="48" t="s">
        <v>1444</v>
      </c>
      <c r="P593" s="48" t="s">
        <v>376</v>
      </c>
      <c r="Q593" s="48">
        <v>2</v>
      </c>
      <c r="R593" s="320">
        <v>1000</v>
      </c>
      <c r="S593" s="317">
        <f t="shared" si="28"/>
        <v>2000</v>
      </c>
    </row>
    <row r="594" spans="13:19">
      <c r="M594" s="48" t="s">
        <v>1123</v>
      </c>
      <c r="N594" s="454">
        <v>330</v>
      </c>
      <c r="O594" s="48" t="s">
        <v>1445</v>
      </c>
      <c r="P594" s="48" t="s">
        <v>376</v>
      </c>
      <c r="Q594" s="48">
        <v>1</v>
      </c>
      <c r="R594" s="320">
        <v>1000</v>
      </c>
      <c r="S594" s="317">
        <f t="shared" si="28"/>
        <v>1000</v>
      </c>
    </row>
    <row r="595" spans="13:19">
      <c r="M595" s="48" t="s">
        <v>1123</v>
      </c>
      <c r="N595" s="454">
        <v>331</v>
      </c>
      <c r="O595" s="48" t="s">
        <v>1446</v>
      </c>
      <c r="P595" s="48" t="s">
        <v>406</v>
      </c>
      <c r="Q595" s="48">
        <v>6</v>
      </c>
      <c r="R595" s="320">
        <v>1000</v>
      </c>
      <c r="S595" s="317">
        <f t="shared" si="28"/>
        <v>6000</v>
      </c>
    </row>
    <row r="596" spans="13:19">
      <c r="M596" s="48" t="s">
        <v>1123</v>
      </c>
      <c r="N596" s="454">
        <v>332</v>
      </c>
      <c r="O596" s="48" t="s">
        <v>1447</v>
      </c>
      <c r="P596" s="48" t="s">
        <v>401</v>
      </c>
      <c r="Q596" s="48">
        <v>2</v>
      </c>
      <c r="R596" s="320">
        <v>1000</v>
      </c>
      <c r="S596" s="317">
        <f t="shared" si="28"/>
        <v>2000</v>
      </c>
    </row>
    <row r="597" spans="13:19">
      <c r="M597" s="48" t="s">
        <v>1123</v>
      </c>
      <c r="N597" s="454">
        <v>333</v>
      </c>
      <c r="O597" s="48" t="s">
        <v>1448</v>
      </c>
      <c r="P597" s="48" t="s">
        <v>406</v>
      </c>
      <c r="Q597" s="48">
        <v>1</v>
      </c>
      <c r="R597" s="320">
        <v>1000</v>
      </c>
      <c r="S597" s="317">
        <f t="shared" si="28"/>
        <v>1000</v>
      </c>
    </row>
    <row r="598" spans="13:19">
      <c r="M598" s="48" t="s">
        <v>1123</v>
      </c>
      <c r="N598" s="454">
        <v>334</v>
      </c>
      <c r="O598" s="48" t="s">
        <v>1449</v>
      </c>
      <c r="P598" s="48" t="s">
        <v>401</v>
      </c>
      <c r="Q598" s="48">
        <v>2</v>
      </c>
      <c r="R598" s="320">
        <v>1000</v>
      </c>
      <c r="S598" s="317">
        <f t="shared" si="28"/>
        <v>2000</v>
      </c>
    </row>
    <row r="599" spans="13:19">
      <c r="M599" s="48" t="s">
        <v>1123</v>
      </c>
      <c r="N599" s="454">
        <v>335</v>
      </c>
      <c r="O599" s="48" t="s">
        <v>1450</v>
      </c>
      <c r="P599" s="48" t="s">
        <v>376</v>
      </c>
      <c r="Q599" s="48">
        <v>2</v>
      </c>
      <c r="R599" s="320">
        <v>1000</v>
      </c>
      <c r="S599" s="317">
        <f t="shared" si="28"/>
        <v>2000</v>
      </c>
    </row>
    <row r="600" spans="13:19">
      <c r="M600" s="48" t="s">
        <v>1123</v>
      </c>
      <c r="N600" s="454">
        <v>336</v>
      </c>
      <c r="O600" s="48" t="s">
        <v>1451</v>
      </c>
      <c r="P600" s="48" t="s">
        <v>376</v>
      </c>
      <c r="Q600" s="48">
        <v>2</v>
      </c>
      <c r="R600" s="320">
        <v>1000</v>
      </c>
      <c r="S600" s="317">
        <f t="shared" si="28"/>
        <v>2000</v>
      </c>
    </row>
    <row r="601" spans="13:19">
      <c r="M601" s="48" t="s">
        <v>1123</v>
      </c>
      <c r="N601" s="454">
        <v>337</v>
      </c>
      <c r="O601" s="48" t="s">
        <v>1452</v>
      </c>
      <c r="P601" s="48" t="s">
        <v>376</v>
      </c>
      <c r="Q601" s="48">
        <v>16</v>
      </c>
      <c r="R601" s="320">
        <v>1000</v>
      </c>
      <c r="S601" s="317">
        <f t="shared" si="28"/>
        <v>16000</v>
      </c>
    </row>
    <row r="602" spans="13:19">
      <c r="M602" s="48" t="s">
        <v>1123</v>
      </c>
      <c r="N602" s="454">
        <v>338</v>
      </c>
      <c r="O602" s="48" t="s">
        <v>1081</v>
      </c>
      <c r="P602" s="48" t="s">
        <v>401</v>
      </c>
      <c r="Q602" s="48">
        <v>1</v>
      </c>
      <c r="R602" s="320">
        <v>1000</v>
      </c>
      <c r="S602" s="317">
        <f t="shared" si="28"/>
        <v>1000</v>
      </c>
    </row>
    <row r="603" spans="13:19">
      <c r="M603" s="48" t="s">
        <v>1123</v>
      </c>
      <c r="N603" s="454">
        <v>339</v>
      </c>
      <c r="O603" s="48" t="s">
        <v>404</v>
      </c>
      <c r="P603" s="48" t="s">
        <v>376</v>
      </c>
      <c r="Q603" s="48">
        <v>2</v>
      </c>
      <c r="R603" s="320">
        <v>1000</v>
      </c>
      <c r="S603" s="317">
        <f t="shared" si="28"/>
        <v>2000</v>
      </c>
    </row>
    <row r="604" spans="13:19">
      <c r="M604" s="48" t="s">
        <v>1123</v>
      </c>
      <c r="N604" s="454">
        <v>340</v>
      </c>
      <c r="O604" s="48" t="s">
        <v>1453</v>
      </c>
      <c r="P604" s="48" t="s">
        <v>376</v>
      </c>
      <c r="Q604" s="48">
        <v>1</v>
      </c>
      <c r="R604" s="320">
        <v>1000</v>
      </c>
      <c r="S604" s="317">
        <f t="shared" si="28"/>
        <v>1000</v>
      </c>
    </row>
    <row r="605" spans="13:19">
      <c r="M605" s="48" t="s">
        <v>1123</v>
      </c>
      <c r="N605" s="454">
        <v>341</v>
      </c>
      <c r="O605" s="48" t="s">
        <v>1454</v>
      </c>
      <c r="P605" s="48" t="s">
        <v>376</v>
      </c>
      <c r="Q605" s="48">
        <v>1</v>
      </c>
      <c r="R605" s="320">
        <v>1000</v>
      </c>
      <c r="S605" s="317">
        <f t="shared" si="28"/>
        <v>1000</v>
      </c>
    </row>
    <row r="606" spans="13:19">
      <c r="M606" s="48" t="s">
        <v>1123</v>
      </c>
      <c r="N606" s="454">
        <v>342</v>
      </c>
      <c r="O606" s="48" t="s">
        <v>1455</v>
      </c>
      <c r="P606" s="48" t="s">
        <v>376</v>
      </c>
      <c r="Q606" s="48">
        <v>2</v>
      </c>
      <c r="R606" s="320">
        <v>1000</v>
      </c>
      <c r="S606" s="317">
        <f t="shared" si="28"/>
        <v>2000</v>
      </c>
    </row>
    <row r="607" spans="13:19">
      <c r="M607" s="48" t="s">
        <v>1123</v>
      </c>
      <c r="N607" s="454">
        <v>343</v>
      </c>
      <c r="O607" s="48" t="s">
        <v>1456</v>
      </c>
      <c r="P607" s="48" t="s">
        <v>376</v>
      </c>
      <c r="Q607" s="48">
        <v>2</v>
      </c>
      <c r="R607" s="320">
        <v>1000</v>
      </c>
      <c r="S607" s="317">
        <f t="shared" si="28"/>
        <v>2000</v>
      </c>
    </row>
    <row r="608" spans="13:19">
      <c r="M608" s="48" t="s">
        <v>1123</v>
      </c>
      <c r="N608" s="454">
        <v>344</v>
      </c>
      <c r="O608" s="48" t="s">
        <v>1457</v>
      </c>
      <c r="P608" s="48" t="s">
        <v>376</v>
      </c>
      <c r="Q608" s="48">
        <v>2</v>
      </c>
      <c r="R608" s="320">
        <v>1000</v>
      </c>
      <c r="S608" s="317">
        <f t="shared" si="28"/>
        <v>2000</v>
      </c>
    </row>
    <row r="609" spans="13:19">
      <c r="M609" s="48" t="s">
        <v>1123</v>
      </c>
      <c r="N609" s="454">
        <v>345</v>
      </c>
      <c r="O609" s="48" t="s">
        <v>1458</v>
      </c>
      <c r="P609" s="48" t="s">
        <v>376</v>
      </c>
      <c r="Q609" s="48">
        <v>2</v>
      </c>
      <c r="R609" s="320">
        <v>1000</v>
      </c>
      <c r="S609" s="317">
        <f t="shared" si="28"/>
        <v>2000</v>
      </c>
    </row>
    <row r="610" spans="13:19">
      <c r="M610" s="48" t="s">
        <v>1123</v>
      </c>
      <c r="N610" s="454">
        <v>346</v>
      </c>
      <c r="O610" s="48" t="s">
        <v>1459</v>
      </c>
      <c r="P610" s="48" t="s">
        <v>376</v>
      </c>
      <c r="Q610" s="48">
        <v>2</v>
      </c>
      <c r="R610" s="320">
        <v>1000</v>
      </c>
      <c r="S610" s="317">
        <f t="shared" si="28"/>
        <v>2000</v>
      </c>
    </row>
    <row r="611" spans="13:19">
      <c r="M611" s="48" t="s">
        <v>1123</v>
      </c>
      <c r="N611" s="454">
        <v>347</v>
      </c>
      <c r="O611" s="48" t="s">
        <v>558</v>
      </c>
      <c r="P611" s="48" t="s">
        <v>376</v>
      </c>
      <c r="Q611" s="48">
        <v>8</v>
      </c>
      <c r="R611" s="320">
        <v>1000</v>
      </c>
      <c r="S611" s="317">
        <f t="shared" si="28"/>
        <v>8000</v>
      </c>
    </row>
    <row r="612" spans="13:19">
      <c r="M612" s="48" t="s">
        <v>1123</v>
      </c>
      <c r="N612" s="454">
        <v>348</v>
      </c>
      <c r="O612" s="48" t="s">
        <v>1419</v>
      </c>
      <c r="P612" s="48" t="s">
        <v>376</v>
      </c>
      <c r="Q612" s="48">
        <v>8</v>
      </c>
      <c r="R612" s="320">
        <v>1000</v>
      </c>
      <c r="S612" s="317">
        <f t="shared" si="28"/>
        <v>8000</v>
      </c>
    </row>
    <row r="613" spans="13:19">
      <c r="M613" s="48" t="s">
        <v>1123</v>
      </c>
      <c r="N613" s="454">
        <v>349</v>
      </c>
      <c r="O613" s="48" t="s">
        <v>1460</v>
      </c>
      <c r="P613" s="48" t="s">
        <v>376</v>
      </c>
      <c r="Q613" s="48">
        <v>8</v>
      </c>
      <c r="R613" s="320">
        <v>1000</v>
      </c>
      <c r="S613" s="317">
        <f t="shared" si="28"/>
        <v>8000</v>
      </c>
    </row>
    <row r="614" spans="13:19">
      <c r="M614" s="48" t="s">
        <v>1123</v>
      </c>
      <c r="N614" s="454">
        <v>350</v>
      </c>
      <c r="O614" s="48" t="s">
        <v>1082</v>
      </c>
      <c r="P614" s="48" t="s">
        <v>376</v>
      </c>
      <c r="Q614" s="48">
        <v>12</v>
      </c>
      <c r="R614" s="320">
        <v>1000</v>
      </c>
      <c r="S614" s="317">
        <f t="shared" si="28"/>
        <v>12000</v>
      </c>
    </row>
    <row r="615" spans="13:19">
      <c r="M615" s="48" t="s">
        <v>1123</v>
      </c>
      <c r="N615" s="454">
        <v>351</v>
      </c>
      <c r="O615" s="48" t="s">
        <v>1461</v>
      </c>
      <c r="P615" s="48" t="s">
        <v>376</v>
      </c>
      <c r="Q615" s="48">
        <v>12</v>
      </c>
      <c r="R615" s="320">
        <v>1000</v>
      </c>
      <c r="S615" s="317">
        <f t="shared" si="28"/>
        <v>12000</v>
      </c>
    </row>
    <row r="616" spans="13:19">
      <c r="M616" s="48" t="s">
        <v>1123</v>
      </c>
      <c r="N616" s="454">
        <v>352</v>
      </c>
      <c r="O616" s="48" t="s">
        <v>1462</v>
      </c>
      <c r="P616" s="48" t="s">
        <v>406</v>
      </c>
      <c r="Q616" s="48">
        <v>1</v>
      </c>
      <c r="R616" s="320">
        <v>1000</v>
      </c>
      <c r="S616" s="317">
        <f t="shared" si="28"/>
        <v>1000</v>
      </c>
    </row>
    <row r="617" spans="13:19">
      <c r="M617" s="48" t="s">
        <v>1123</v>
      </c>
      <c r="N617" s="454">
        <v>353</v>
      </c>
      <c r="O617" s="48" t="s">
        <v>1463</v>
      </c>
      <c r="P617" s="48" t="s">
        <v>376</v>
      </c>
      <c r="Q617" s="48">
        <v>2</v>
      </c>
      <c r="R617" s="320">
        <v>1000</v>
      </c>
      <c r="S617" s="317">
        <f t="shared" si="28"/>
        <v>2000</v>
      </c>
    </row>
    <row r="618" spans="13:19">
      <c r="M618" s="48" t="s">
        <v>1123</v>
      </c>
      <c r="N618" s="454">
        <v>354</v>
      </c>
      <c r="O618" s="48" t="s">
        <v>1431</v>
      </c>
      <c r="P618" s="48" t="s">
        <v>376</v>
      </c>
      <c r="Q618" s="48">
        <v>1</v>
      </c>
      <c r="R618" s="320">
        <v>1000</v>
      </c>
      <c r="S618" s="317">
        <f t="shared" si="28"/>
        <v>1000</v>
      </c>
    </row>
    <row r="619" spans="13:19">
      <c r="M619" s="48" t="s">
        <v>1123</v>
      </c>
      <c r="N619" s="454">
        <v>355</v>
      </c>
      <c r="O619" s="48" t="s">
        <v>1464</v>
      </c>
      <c r="P619" s="48" t="s">
        <v>376</v>
      </c>
      <c r="Q619" s="48">
        <v>8</v>
      </c>
      <c r="R619" s="320">
        <v>1000</v>
      </c>
      <c r="S619" s="317">
        <f t="shared" si="28"/>
        <v>8000</v>
      </c>
    </row>
    <row r="620" spans="13:19">
      <c r="M620" s="48" t="s">
        <v>1123</v>
      </c>
      <c r="N620" s="454">
        <v>356</v>
      </c>
      <c r="O620" s="48" t="s">
        <v>1465</v>
      </c>
      <c r="P620" s="48" t="s">
        <v>406</v>
      </c>
      <c r="Q620" s="48">
        <v>10</v>
      </c>
      <c r="R620" s="320">
        <v>1000</v>
      </c>
      <c r="S620" s="317">
        <f t="shared" si="28"/>
        <v>10000</v>
      </c>
    </row>
    <row r="621" spans="13:19">
      <c r="M621" s="48" t="s">
        <v>1123</v>
      </c>
      <c r="N621" s="454">
        <v>357</v>
      </c>
      <c r="O621" s="48" t="s">
        <v>411</v>
      </c>
      <c r="P621" s="48" t="s">
        <v>406</v>
      </c>
      <c r="Q621" s="48">
        <v>20</v>
      </c>
      <c r="R621" s="320">
        <v>1000</v>
      </c>
      <c r="S621" s="317">
        <f t="shared" si="28"/>
        <v>20000</v>
      </c>
    </row>
    <row r="622" spans="13:19">
      <c r="M622" s="48" t="s">
        <v>1123</v>
      </c>
      <c r="N622" s="454">
        <v>358</v>
      </c>
      <c r="O622" s="48" t="s">
        <v>1466</v>
      </c>
      <c r="P622" s="48" t="s">
        <v>376</v>
      </c>
      <c r="Q622" s="48">
        <v>10</v>
      </c>
      <c r="R622" s="320">
        <v>1000</v>
      </c>
      <c r="S622" s="317">
        <f t="shared" si="28"/>
        <v>10000</v>
      </c>
    </row>
    <row r="623" spans="13:19">
      <c r="M623" s="48" t="s">
        <v>1123</v>
      </c>
      <c r="N623" s="454">
        <v>359</v>
      </c>
      <c r="O623" s="48" t="s">
        <v>1467</v>
      </c>
      <c r="P623" s="48" t="s">
        <v>376</v>
      </c>
      <c r="Q623" s="48">
        <v>10</v>
      </c>
      <c r="R623" s="320">
        <v>1000</v>
      </c>
      <c r="S623" s="317">
        <f t="shared" si="28"/>
        <v>10000</v>
      </c>
    </row>
    <row r="624" spans="13:19">
      <c r="M624" s="48" t="s">
        <v>1123</v>
      </c>
      <c r="N624" s="454">
        <v>360</v>
      </c>
      <c r="O624" s="48" t="s">
        <v>1468</v>
      </c>
      <c r="P624" s="48" t="s">
        <v>406</v>
      </c>
      <c r="Q624" s="48">
        <v>8</v>
      </c>
      <c r="R624" s="320">
        <v>1000</v>
      </c>
      <c r="S624" s="317">
        <f t="shared" si="28"/>
        <v>8000</v>
      </c>
    </row>
    <row r="625" spans="13:19">
      <c r="M625" s="48" t="s">
        <v>1123</v>
      </c>
      <c r="N625" s="454">
        <v>361</v>
      </c>
      <c r="O625" s="48" t="s">
        <v>1469</v>
      </c>
      <c r="P625" s="48" t="s">
        <v>406</v>
      </c>
      <c r="Q625" s="48">
        <v>5</v>
      </c>
      <c r="R625" s="320">
        <v>1000</v>
      </c>
      <c r="S625" s="317">
        <f t="shared" si="28"/>
        <v>5000</v>
      </c>
    </row>
    <row r="626" spans="13:19">
      <c r="M626" s="48" t="s">
        <v>1123</v>
      </c>
      <c r="N626" s="454">
        <v>362</v>
      </c>
      <c r="O626" s="48" t="s">
        <v>1470</v>
      </c>
      <c r="P626" s="48" t="s">
        <v>406</v>
      </c>
      <c r="Q626" s="48">
        <v>5</v>
      </c>
      <c r="R626" s="320">
        <v>1000</v>
      </c>
      <c r="S626" s="317">
        <f t="shared" si="28"/>
        <v>5000</v>
      </c>
    </row>
    <row r="627" spans="13:19">
      <c r="M627" s="48" t="s">
        <v>1123</v>
      </c>
      <c r="N627" s="454">
        <v>363</v>
      </c>
      <c r="O627" s="48" t="s">
        <v>1471</v>
      </c>
      <c r="P627" s="48" t="s">
        <v>406</v>
      </c>
      <c r="Q627" s="48">
        <v>10</v>
      </c>
      <c r="R627" s="320">
        <v>1000</v>
      </c>
      <c r="S627" s="317">
        <f t="shared" si="28"/>
        <v>10000</v>
      </c>
    </row>
    <row r="628" spans="13:19">
      <c r="M628" s="48" t="s">
        <v>1123</v>
      </c>
      <c r="N628" s="454">
        <v>364</v>
      </c>
      <c r="O628" s="48" t="s">
        <v>1472</v>
      </c>
      <c r="P628" s="48" t="s">
        <v>406</v>
      </c>
      <c r="Q628" s="48">
        <v>2</v>
      </c>
      <c r="R628" s="320">
        <v>1000</v>
      </c>
      <c r="S628" s="317">
        <f t="shared" si="28"/>
        <v>2000</v>
      </c>
    </row>
    <row r="629" spans="13:19">
      <c r="M629" s="48" t="s">
        <v>1123</v>
      </c>
      <c r="N629" s="454">
        <v>365</v>
      </c>
      <c r="O629" s="48" t="s">
        <v>1473</v>
      </c>
      <c r="P629" s="48" t="s">
        <v>406</v>
      </c>
      <c r="Q629" s="48">
        <v>2</v>
      </c>
      <c r="R629" s="320">
        <v>1000</v>
      </c>
      <c r="S629" s="317">
        <f t="shared" si="28"/>
        <v>2000</v>
      </c>
    </row>
    <row r="630" spans="13:19">
      <c r="M630" s="48" t="s">
        <v>1123</v>
      </c>
      <c r="N630" s="454">
        <v>366</v>
      </c>
      <c r="O630" s="48" t="s">
        <v>1474</v>
      </c>
      <c r="P630" s="48" t="s">
        <v>406</v>
      </c>
      <c r="Q630" s="48">
        <v>2</v>
      </c>
      <c r="R630" s="320">
        <v>1000</v>
      </c>
      <c r="S630" s="317">
        <f t="shared" si="28"/>
        <v>2000</v>
      </c>
    </row>
    <row r="631" spans="13:19">
      <c r="M631" s="48" t="s">
        <v>1123</v>
      </c>
      <c r="N631" s="454">
        <v>367</v>
      </c>
      <c r="O631" s="48" t="s">
        <v>1475</v>
      </c>
      <c r="P631" s="48" t="s">
        <v>406</v>
      </c>
      <c r="Q631" s="48">
        <v>2</v>
      </c>
      <c r="R631" s="320">
        <v>1000</v>
      </c>
      <c r="S631" s="317">
        <f t="shared" si="28"/>
        <v>2000</v>
      </c>
    </row>
    <row r="632" spans="13:19">
      <c r="M632" s="48" t="s">
        <v>1123</v>
      </c>
      <c r="N632" s="454">
        <v>368</v>
      </c>
      <c r="O632" s="48" t="s">
        <v>1476</v>
      </c>
      <c r="P632" s="48" t="s">
        <v>406</v>
      </c>
      <c r="Q632" s="48">
        <v>2</v>
      </c>
      <c r="R632" s="320">
        <v>1000</v>
      </c>
      <c r="S632" s="317">
        <f t="shared" si="28"/>
        <v>2000</v>
      </c>
    </row>
    <row r="633" spans="13:19">
      <c r="M633" s="48" t="s">
        <v>1123</v>
      </c>
      <c r="N633" s="454">
        <v>369</v>
      </c>
      <c r="O633" s="48" t="s">
        <v>1477</v>
      </c>
      <c r="P633" s="48" t="s">
        <v>406</v>
      </c>
      <c r="Q633" s="48">
        <v>2</v>
      </c>
      <c r="R633" s="320">
        <v>1000</v>
      </c>
      <c r="S633" s="317">
        <f t="shared" si="28"/>
        <v>2000</v>
      </c>
    </row>
    <row r="634" spans="13:19">
      <c r="M634" s="48" t="s">
        <v>1123</v>
      </c>
      <c r="N634" s="454">
        <v>370</v>
      </c>
      <c r="O634" s="48" t="s">
        <v>1478</v>
      </c>
      <c r="P634" s="48" t="s">
        <v>406</v>
      </c>
      <c r="Q634" s="48">
        <v>2</v>
      </c>
      <c r="R634" s="320">
        <v>1000</v>
      </c>
      <c r="S634" s="317">
        <f t="shared" si="28"/>
        <v>2000</v>
      </c>
    </row>
    <row r="635" spans="13:19">
      <c r="M635" s="48" t="s">
        <v>1123</v>
      </c>
      <c r="N635" s="454">
        <v>371</v>
      </c>
      <c r="O635" s="48" t="s">
        <v>1479</v>
      </c>
      <c r="P635" s="48" t="s">
        <v>406</v>
      </c>
      <c r="Q635" s="48">
        <v>2</v>
      </c>
      <c r="R635" s="320">
        <v>1000</v>
      </c>
      <c r="S635" s="317">
        <f t="shared" si="28"/>
        <v>2000</v>
      </c>
    </row>
    <row r="636" spans="13:19">
      <c r="M636" s="48" t="s">
        <v>1123</v>
      </c>
      <c r="N636" s="454">
        <v>372</v>
      </c>
      <c r="O636" s="48" t="s">
        <v>1480</v>
      </c>
      <c r="P636" s="48" t="s">
        <v>406</v>
      </c>
      <c r="Q636" s="48">
        <v>2</v>
      </c>
      <c r="R636" s="320">
        <v>1000</v>
      </c>
      <c r="S636" s="317">
        <f t="shared" si="28"/>
        <v>2000</v>
      </c>
    </row>
    <row r="637" spans="13:19">
      <c r="M637" s="48" t="s">
        <v>1123</v>
      </c>
      <c r="N637" s="454">
        <v>373</v>
      </c>
      <c r="O637" s="48" t="s">
        <v>1481</v>
      </c>
      <c r="P637" s="48" t="s">
        <v>406</v>
      </c>
      <c r="Q637" s="48">
        <v>2</v>
      </c>
      <c r="R637" s="320">
        <v>1000</v>
      </c>
      <c r="S637" s="317">
        <f t="shared" si="28"/>
        <v>2000</v>
      </c>
    </row>
    <row r="638" spans="13:19">
      <c r="M638" s="48" t="s">
        <v>1123</v>
      </c>
      <c r="N638" s="454">
        <v>374</v>
      </c>
      <c r="O638" s="48" t="s">
        <v>1482</v>
      </c>
      <c r="P638" s="48" t="s">
        <v>406</v>
      </c>
      <c r="Q638" s="48">
        <v>2</v>
      </c>
      <c r="R638" s="320">
        <v>1000</v>
      </c>
      <c r="S638" s="317">
        <f t="shared" si="28"/>
        <v>2000</v>
      </c>
    </row>
    <row r="639" spans="13:19">
      <c r="M639" s="48" t="s">
        <v>1123</v>
      </c>
      <c r="N639" s="454">
        <v>375</v>
      </c>
      <c r="O639" s="48" t="s">
        <v>1483</v>
      </c>
      <c r="P639" s="48" t="s">
        <v>406</v>
      </c>
      <c r="Q639" s="48">
        <v>2</v>
      </c>
      <c r="R639" s="320">
        <v>1000</v>
      </c>
      <c r="S639" s="317">
        <f t="shared" si="28"/>
        <v>2000</v>
      </c>
    </row>
    <row r="640" spans="13:19">
      <c r="M640" s="48" t="s">
        <v>1123</v>
      </c>
      <c r="N640" s="454">
        <v>376</v>
      </c>
      <c r="O640" s="48" t="s">
        <v>1484</v>
      </c>
      <c r="P640" s="48" t="s">
        <v>406</v>
      </c>
      <c r="Q640" s="48">
        <v>2</v>
      </c>
      <c r="R640" s="320">
        <v>1000</v>
      </c>
      <c r="S640" s="317">
        <f t="shared" si="28"/>
        <v>2000</v>
      </c>
    </row>
    <row r="641" spans="13:19">
      <c r="M641" s="48" t="s">
        <v>1123</v>
      </c>
      <c r="N641" s="454">
        <v>377</v>
      </c>
      <c r="O641" s="48" t="s">
        <v>1485</v>
      </c>
      <c r="P641" s="48" t="s">
        <v>406</v>
      </c>
      <c r="Q641" s="48">
        <v>2</v>
      </c>
      <c r="R641" s="320">
        <v>1000</v>
      </c>
      <c r="S641" s="317">
        <f t="shared" si="28"/>
        <v>2000</v>
      </c>
    </row>
    <row r="642" spans="13:19">
      <c r="M642" s="48" t="s">
        <v>1123</v>
      </c>
      <c r="N642" s="454">
        <v>378</v>
      </c>
      <c r="O642" s="48" t="s">
        <v>1486</v>
      </c>
      <c r="P642" s="48" t="s">
        <v>406</v>
      </c>
      <c r="Q642" s="48">
        <v>2</v>
      </c>
      <c r="R642" s="320">
        <v>1000</v>
      </c>
      <c r="S642" s="317">
        <f t="shared" si="28"/>
        <v>2000</v>
      </c>
    </row>
    <row r="643" spans="13:19">
      <c r="M643" s="48" t="s">
        <v>1123</v>
      </c>
      <c r="N643" s="454">
        <v>379</v>
      </c>
      <c r="O643" s="48" t="s">
        <v>1487</v>
      </c>
      <c r="P643" s="48" t="s">
        <v>406</v>
      </c>
      <c r="Q643" s="48">
        <v>2</v>
      </c>
      <c r="R643" s="320">
        <v>1000</v>
      </c>
      <c r="S643" s="317">
        <f t="shared" ref="S643:S701" si="29">R643*Q643</f>
        <v>2000</v>
      </c>
    </row>
    <row r="644" spans="13:19">
      <c r="M644" s="48" t="s">
        <v>1123</v>
      </c>
      <c r="N644" s="454">
        <v>380</v>
      </c>
      <c r="O644" s="48" t="s">
        <v>1488</v>
      </c>
      <c r="P644" s="48" t="s">
        <v>406</v>
      </c>
      <c r="Q644" s="48">
        <v>2</v>
      </c>
      <c r="R644" s="320">
        <v>1000</v>
      </c>
      <c r="S644" s="317">
        <f t="shared" si="29"/>
        <v>2000</v>
      </c>
    </row>
    <row r="645" spans="13:19">
      <c r="M645" s="48" t="s">
        <v>1123</v>
      </c>
      <c r="N645" s="454">
        <v>381</v>
      </c>
      <c r="O645" s="48" t="s">
        <v>1489</v>
      </c>
      <c r="P645" s="48" t="s">
        <v>406</v>
      </c>
      <c r="Q645" s="48">
        <v>2</v>
      </c>
      <c r="R645" s="320">
        <v>1000</v>
      </c>
      <c r="S645" s="317">
        <f t="shared" si="29"/>
        <v>2000</v>
      </c>
    </row>
    <row r="646" spans="13:19">
      <c r="M646" s="48" t="s">
        <v>1123</v>
      </c>
      <c r="N646" s="454">
        <v>382</v>
      </c>
      <c r="O646" s="48" t="s">
        <v>1490</v>
      </c>
      <c r="P646" s="48" t="s">
        <v>406</v>
      </c>
      <c r="Q646" s="48">
        <v>2</v>
      </c>
      <c r="R646" s="320">
        <v>1000</v>
      </c>
      <c r="S646" s="317">
        <f t="shared" si="29"/>
        <v>2000</v>
      </c>
    </row>
    <row r="647" spans="13:19">
      <c r="M647" s="48" t="s">
        <v>1123</v>
      </c>
      <c r="N647" s="454">
        <v>383</v>
      </c>
      <c r="O647" s="48" t="s">
        <v>1491</v>
      </c>
      <c r="P647" s="48" t="s">
        <v>406</v>
      </c>
      <c r="Q647" s="48">
        <v>2</v>
      </c>
      <c r="R647" s="320">
        <v>1000</v>
      </c>
      <c r="S647" s="317">
        <f t="shared" si="29"/>
        <v>2000</v>
      </c>
    </row>
    <row r="648" spans="13:19">
      <c r="M648" s="48" t="s">
        <v>1123</v>
      </c>
      <c r="N648" s="454">
        <v>384</v>
      </c>
      <c r="O648" s="48" t="s">
        <v>1492</v>
      </c>
      <c r="P648" s="48" t="s">
        <v>406</v>
      </c>
      <c r="Q648" s="48">
        <v>2</v>
      </c>
      <c r="R648" s="320">
        <v>1000</v>
      </c>
      <c r="S648" s="317">
        <f t="shared" si="29"/>
        <v>2000</v>
      </c>
    </row>
    <row r="649" spans="13:19">
      <c r="M649" s="48" t="s">
        <v>1123</v>
      </c>
      <c r="N649" s="454">
        <v>385</v>
      </c>
      <c r="O649" s="48" t="s">
        <v>1493</v>
      </c>
      <c r="P649" s="48" t="s">
        <v>406</v>
      </c>
      <c r="Q649" s="48">
        <v>4</v>
      </c>
      <c r="R649" s="320">
        <v>1000</v>
      </c>
      <c r="S649" s="317">
        <f t="shared" si="29"/>
        <v>4000</v>
      </c>
    </row>
    <row r="650" spans="13:19">
      <c r="M650" s="48" t="s">
        <v>1123</v>
      </c>
      <c r="N650" s="454">
        <v>386</v>
      </c>
      <c r="O650" s="48" t="s">
        <v>1494</v>
      </c>
      <c r="P650" s="48" t="s">
        <v>406</v>
      </c>
      <c r="Q650" s="48">
        <v>2</v>
      </c>
      <c r="R650" s="320">
        <v>1000</v>
      </c>
      <c r="S650" s="317">
        <f t="shared" si="29"/>
        <v>2000</v>
      </c>
    </row>
    <row r="651" spans="13:19">
      <c r="M651" s="48" t="s">
        <v>1123</v>
      </c>
      <c r="N651" s="454">
        <v>387</v>
      </c>
      <c r="O651" s="48" t="s">
        <v>1495</v>
      </c>
      <c r="P651" s="48" t="s">
        <v>406</v>
      </c>
      <c r="Q651" s="48">
        <v>2</v>
      </c>
      <c r="R651" s="320">
        <v>1000</v>
      </c>
      <c r="S651" s="317">
        <f t="shared" si="29"/>
        <v>2000</v>
      </c>
    </row>
    <row r="652" spans="13:19">
      <c r="M652" s="48" t="s">
        <v>1123</v>
      </c>
      <c r="N652" s="454">
        <v>388</v>
      </c>
      <c r="O652" s="48" t="s">
        <v>1496</v>
      </c>
      <c r="P652" s="48" t="s">
        <v>406</v>
      </c>
      <c r="Q652" s="48">
        <v>2</v>
      </c>
      <c r="R652" s="320">
        <v>1000</v>
      </c>
      <c r="S652" s="317">
        <f t="shared" si="29"/>
        <v>2000</v>
      </c>
    </row>
    <row r="653" spans="13:19">
      <c r="M653" s="48" t="s">
        <v>1123</v>
      </c>
      <c r="N653" s="454">
        <v>389</v>
      </c>
      <c r="O653" s="48" t="s">
        <v>1497</v>
      </c>
      <c r="P653" s="48" t="s">
        <v>1498</v>
      </c>
      <c r="R653" s="320">
        <v>1000</v>
      </c>
      <c r="S653" s="317">
        <f t="shared" si="29"/>
        <v>0</v>
      </c>
    </row>
    <row r="654" spans="13:19">
      <c r="M654" s="48" t="s">
        <v>1123</v>
      </c>
      <c r="N654" s="454">
        <v>390</v>
      </c>
      <c r="O654" s="48" t="s">
        <v>1499</v>
      </c>
      <c r="P654" s="48" t="s">
        <v>406</v>
      </c>
      <c r="Q654" s="48">
        <v>4</v>
      </c>
      <c r="R654" s="320">
        <v>1000</v>
      </c>
      <c r="S654" s="317">
        <f t="shared" si="29"/>
        <v>4000</v>
      </c>
    </row>
    <row r="655" spans="13:19">
      <c r="M655" s="48" t="s">
        <v>1123</v>
      </c>
      <c r="N655" s="454">
        <v>391</v>
      </c>
      <c r="O655" s="48" t="s">
        <v>1500</v>
      </c>
      <c r="P655" s="48" t="s">
        <v>406</v>
      </c>
      <c r="Q655" s="48">
        <v>2</v>
      </c>
      <c r="R655" s="320">
        <v>1000</v>
      </c>
      <c r="S655" s="317">
        <f t="shared" si="29"/>
        <v>2000</v>
      </c>
    </row>
    <row r="656" spans="13:19">
      <c r="M656" s="48" t="s">
        <v>1123</v>
      </c>
      <c r="N656" s="454">
        <v>392</v>
      </c>
      <c r="O656" s="48" t="s">
        <v>1501</v>
      </c>
      <c r="P656" s="48" t="s">
        <v>564</v>
      </c>
      <c r="Q656" s="48">
        <v>3</v>
      </c>
      <c r="R656" s="320">
        <v>1000</v>
      </c>
      <c r="S656" s="317">
        <f t="shared" si="29"/>
        <v>3000</v>
      </c>
    </row>
    <row r="657" spans="13:19">
      <c r="M657" s="48" t="s">
        <v>1123</v>
      </c>
      <c r="N657" s="454">
        <v>393</v>
      </c>
      <c r="O657" s="48" t="s">
        <v>1502</v>
      </c>
      <c r="P657" s="48" t="s">
        <v>564</v>
      </c>
      <c r="Q657" s="48">
        <v>4</v>
      </c>
      <c r="R657" s="320">
        <v>1000</v>
      </c>
      <c r="S657" s="317">
        <f t="shared" si="29"/>
        <v>4000</v>
      </c>
    </row>
    <row r="658" spans="13:19">
      <c r="M658" s="48" t="s">
        <v>1123</v>
      </c>
      <c r="N658" s="454">
        <v>394</v>
      </c>
      <c r="O658" s="48" t="s">
        <v>1339</v>
      </c>
      <c r="P658" s="48" t="s">
        <v>564</v>
      </c>
      <c r="Q658" s="48">
        <v>4</v>
      </c>
      <c r="R658" s="320">
        <v>1000</v>
      </c>
      <c r="S658" s="317">
        <f t="shared" si="29"/>
        <v>4000</v>
      </c>
    </row>
    <row r="659" spans="13:19">
      <c r="M659" s="48" t="s">
        <v>1123</v>
      </c>
      <c r="N659" s="454">
        <v>395</v>
      </c>
      <c r="O659" s="48" t="s">
        <v>632</v>
      </c>
      <c r="P659" s="48" t="s">
        <v>564</v>
      </c>
      <c r="Q659" s="48">
        <v>2</v>
      </c>
      <c r="R659" s="320">
        <v>1000</v>
      </c>
      <c r="S659" s="317">
        <f t="shared" si="29"/>
        <v>2000</v>
      </c>
    </row>
    <row r="660" spans="13:19">
      <c r="M660" s="48" t="s">
        <v>1123</v>
      </c>
      <c r="N660" s="454">
        <v>396</v>
      </c>
      <c r="O660" s="48" t="s">
        <v>1503</v>
      </c>
      <c r="P660" s="48" t="s">
        <v>564</v>
      </c>
      <c r="Q660" s="48">
        <v>8</v>
      </c>
      <c r="R660" s="320">
        <v>1000</v>
      </c>
      <c r="S660" s="317">
        <f t="shared" si="29"/>
        <v>8000</v>
      </c>
    </row>
    <row r="661" spans="13:19">
      <c r="M661" s="48" t="s">
        <v>1123</v>
      </c>
      <c r="N661" s="454">
        <v>397</v>
      </c>
      <c r="O661" s="48" t="s">
        <v>635</v>
      </c>
      <c r="P661" s="48" t="s">
        <v>564</v>
      </c>
      <c r="Q661" s="48">
        <v>16</v>
      </c>
      <c r="R661" s="320">
        <v>1000</v>
      </c>
      <c r="S661" s="317">
        <f t="shared" si="29"/>
        <v>16000</v>
      </c>
    </row>
    <row r="662" spans="13:19">
      <c r="M662" s="48" t="s">
        <v>1123</v>
      </c>
      <c r="N662" s="454">
        <v>398</v>
      </c>
      <c r="O662" s="48" t="s">
        <v>413</v>
      </c>
      <c r="P662" s="48" t="s">
        <v>564</v>
      </c>
      <c r="Q662" s="48">
        <v>8</v>
      </c>
      <c r="R662" s="320">
        <v>1000</v>
      </c>
      <c r="S662" s="317">
        <f t="shared" si="29"/>
        <v>8000</v>
      </c>
    </row>
    <row r="663" spans="13:19">
      <c r="M663" s="48" t="s">
        <v>1123</v>
      </c>
      <c r="N663" s="454">
        <v>399</v>
      </c>
      <c r="O663" s="48" t="s">
        <v>1432</v>
      </c>
      <c r="P663" s="48" t="s">
        <v>564</v>
      </c>
      <c r="Q663" s="48">
        <v>8</v>
      </c>
      <c r="R663" s="320">
        <v>1000</v>
      </c>
      <c r="S663" s="317">
        <f t="shared" si="29"/>
        <v>8000</v>
      </c>
    </row>
    <row r="664" spans="13:19">
      <c r="M664" s="48" t="s">
        <v>1123</v>
      </c>
      <c r="N664" s="454">
        <v>400</v>
      </c>
      <c r="O664" s="48" t="s">
        <v>1088</v>
      </c>
      <c r="P664" s="48" t="s">
        <v>406</v>
      </c>
      <c r="Q664" s="48">
        <v>16</v>
      </c>
      <c r="R664" s="320">
        <v>1000</v>
      </c>
      <c r="S664" s="317">
        <f t="shared" si="29"/>
        <v>16000</v>
      </c>
    </row>
    <row r="665" spans="13:19">
      <c r="M665" s="48" t="s">
        <v>1123</v>
      </c>
      <c r="N665" s="454">
        <v>401</v>
      </c>
      <c r="O665" s="48" t="s">
        <v>1089</v>
      </c>
      <c r="P665" s="48" t="s">
        <v>376</v>
      </c>
      <c r="Q665" s="48">
        <v>20</v>
      </c>
      <c r="R665" s="320">
        <v>1000</v>
      </c>
      <c r="S665" s="317">
        <f t="shared" si="29"/>
        <v>20000</v>
      </c>
    </row>
    <row r="666" spans="13:19">
      <c r="M666" s="48" t="s">
        <v>1123</v>
      </c>
      <c r="N666" s="454">
        <v>402</v>
      </c>
      <c r="O666" s="48" t="s">
        <v>1105</v>
      </c>
      <c r="P666" s="48" t="s">
        <v>376</v>
      </c>
      <c r="Q666" s="48">
        <v>20</v>
      </c>
      <c r="R666" s="320">
        <v>1000</v>
      </c>
      <c r="S666" s="317">
        <f t="shared" si="29"/>
        <v>20000</v>
      </c>
    </row>
    <row r="667" spans="13:19">
      <c r="M667" s="48" t="s">
        <v>1123</v>
      </c>
      <c r="N667" s="454">
        <v>403</v>
      </c>
      <c r="O667" s="48" t="s">
        <v>608</v>
      </c>
      <c r="P667" s="48" t="s">
        <v>376</v>
      </c>
      <c r="Q667" s="48">
        <v>20</v>
      </c>
      <c r="R667" s="320">
        <v>1000</v>
      </c>
      <c r="S667" s="317">
        <f t="shared" si="29"/>
        <v>20000</v>
      </c>
    </row>
    <row r="668" spans="13:19">
      <c r="M668" s="48" t="s">
        <v>1123</v>
      </c>
      <c r="N668" s="454">
        <v>404</v>
      </c>
      <c r="O668" s="48" t="s">
        <v>1426</v>
      </c>
      <c r="P668" s="48" t="s">
        <v>376</v>
      </c>
      <c r="Q668" s="48">
        <v>40</v>
      </c>
      <c r="R668" s="320">
        <v>1000</v>
      </c>
      <c r="S668" s="317">
        <f t="shared" si="29"/>
        <v>40000</v>
      </c>
    </row>
    <row r="669" spans="13:19">
      <c r="M669" s="48" t="s">
        <v>1123</v>
      </c>
      <c r="N669" s="454">
        <v>405</v>
      </c>
      <c r="O669" s="48" t="s">
        <v>1107</v>
      </c>
      <c r="P669" s="48" t="s">
        <v>376</v>
      </c>
      <c r="Q669" s="48">
        <v>40</v>
      </c>
      <c r="R669" s="320">
        <v>1000</v>
      </c>
      <c r="S669" s="317">
        <f t="shared" si="29"/>
        <v>40000</v>
      </c>
    </row>
    <row r="670" spans="13:19">
      <c r="M670" s="48" t="s">
        <v>1123</v>
      </c>
      <c r="N670" s="454">
        <v>406</v>
      </c>
      <c r="O670" s="48" t="s">
        <v>1108</v>
      </c>
      <c r="P670" s="48" t="s">
        <v>376</v>
      </c>
      <c r="Q670" s="48">
        <v>40</v>
      </c>
      <c r="R670" s="320">
        <v>1000</v>
      </c>
      <c r="S670" s="317">
        <f t="shared" si="29"/>
        <v>40000</v>
      </c>
    </row>
    <row r="671" spans="13:19">
      <c r="M671" s="48" t="s">
        <v>1123</v>
      </c>
      <c r="N671" s="454">
        <v>407</v>
      </c>
      <c r="O671" s="48" t="s">
        <v>1109</v>
      </c>
      <c r="P671" s="48" t="s">
        <v>376</v>
      </c>
      <c r="Q671" s="48">
        <v>20</v>
      </c>
      <c r="R671" s="320">
        <v>1000</v>
      </c>
      <c r="S671" s="317">
        <f t="shared" si="29"/>
        <v>20000</v>
      </c>
    </row>
    <row r="672" spans="13:19">
      <c r="M672" s="48" t="s">
        <v>1123</v>
      </c>
      <c r="N672" s="454">
        <v>408</v>
      </c>
      <c r="O672" s="48" t="s">
        <v>1504</v>
      </c>
      <c r="P672" s="48" t="s">
        <v>376</v>
      </c>
      <c r="Q672" s="48">
        <v>4</v>
      </c>
      <c r="R672" s="320">
        <v>1000</v>
      </c>
      <c r="S672" s="317">
        <f t="shared" si="29"/>
        <v>4000</v>
      </c>
    </row>
    <row r="673" spans="13:19">
      <c r="M673" s="48" t="s">
        <v>1123</v>
      </c>
      <c r="N673" s="454">
        <v>409</v>
      </c>
      <c r="O673" s="48" t="s">
        <v>625</v>
      </c>
      <c r="P673" s="48" t="s">
        <v>376</v>
      </c>
      <c r="Q673" s="48">
        <v>6</v>
      </c>
      <c r="R673" s="320">
        <v>1000</v>
      </c>
      <c r="S673" s="317">
        <f t="shared" si="29"/>
        <v>6000</v>
      </c>
    </row>
    <row r="674" spans="13:19">
      <c r="M674" s="48" t="s">
        <v>1123</v>
      </c>
      <c r="N674" s="454">
        <v>410</v>
      </c>
      <c r="O674" s="48" t="s">
        <v>392</v>
      </c>
      <c r="P674" s="48" t="s">
        <v>376</v>
      </c>
      <c r="R674" s="320">
        <v>1000</v>
      </c>
      <c r="S674" s="317">
        <f t="shared" si="29"/>
        <v>0</v>
      </c>
    </row>
    <row r="675" spans="13:19">
      <c r="M675" s="48" t="s">
        <v>1123</v>
      </c>
      <c r="N675" s="454">
        <v>411</v>
      </c>
      <c r="O675" s="48" t="s">
        <v>1505</v>
      </c>
      <c r="P675" s="48" t="s">
        <v>376</v>
      </c>
      <c r="Q675" s="48">
        <v>2</v>
      </c>
      <c r="R675" s="320">
        <v>1000</v>
      </c>
      <c r="S675" s="317">
        <f t="shared" si="29"/>
        <v>2000</v>
      </c>
    </row>
    <row r="676" spans="13:19">
      <c r="M676" s="48" t="s">
        <v>1123</v>
      </c>
      <c r="N676" s="454">
        <v>412</v>
      </c>
      <c r="O676" s="48" t="s">
        <v>1506</v>
      </c>
      <c r="P676" s="48" t="s">
        <v>406</v>
      </c>
      <c r="Q676" s="48">
        <v>8</v>
      </c>
      <c r="R676" s="320">
        <v>1000</v>
      </c>
      <c r="S676" s="317">
        <f t="shared" si="29"/>
        <v>8000</v>
      </c>
    </row>
    <row r="677" spans="13:19">
      <c r="M677" s="48" t="s">
        <v>1123</v>
      </c>
      <c r="N677" s="454">
        <v>413</v>
      </c>
      <c r="O677" s="48" t="s">
        <v>1507</v>
      </c>
      <c r="P677" s="48" t="s">
        <v>406</v>
      </c>
      <c r="Q677" s="48">
        <v>500</v>
      </c>
      <c r="R677" s="320">
        <v>1000</v>
      </c>
      <c r="S677" s="317">
        <f t="shared" si="29"/>
        <v>500000</v>
      </c>
    </row>
    <row r="678" spans="13:19">
      <c r="M678" s="48" t="s">
        <v>1123</v>
      </c>
      <c r="N678" s="454">
        <v>414</v>
      </c>
      <c r="O678" s="48" t="s">
        <v>1434</v>
      </c>
      <c r="P678" s="48" t="s">
        <v>406</v>
      </c>
      <c r="Q678" s="48">
        <v>20</v>
      </c>
      <c r="R678" s="320">
        <v>1000</v>
      </c>
      <c r="S678" s="317">
        <f t="shared" si="29"/>
        <v>20000</v>
      </c>
    </row>
    <row r="679" spans="13:19">
      <c r="M679" s="48" t="s">
        <v>1123</v>
      </c>
      <c r="N679" s="454">
        <v>415</v>
      </c>
      <c r="O679" s="48" t="s">
        <v>1508</v>
      </c>
      <c r="P679" s="48" t="s">
        <v>376</v>
      </c>
      <c r="Q679" s="48">
        <v>500</v>
      </c>
      <c r="R679" s="320">
        <v>1000</v>
      </c>
      <c r="S679" s="317">
        <f t="shared" si="29"/>
        <v>500000</v>
      </c>
    </row>
    <row r="680" spans="13:19">
      <c r="M680" s="48" t="s">
        <v>1123</v>
      </c>
      <c r="N680" s="454">
        <v>416</v>
      </c>
      <c r="O680" s="48" t="s">
        <v>1509</v>
      </c>
      <c r="P680" s="48" t="s">
        <v>376</v>
      </c>
      <c r="Q680" s="48">
        <v>1</v>
      </c>
      <c r="R680" s="320">
        <v>1000</v>
      </c>
      <c r="S680" s="317">
        <f t="shared" si="29"/>
        <v>1000</v>
      </c>
    </row>
    <row r="681" spans="13:19">
      <c r="M681" s="48" t="s">
        <v>1123</v>
      </c>
      <c r="N681" s="454">
        <v>417</v>
      </c>
      <c r="O681" s="48" t="s">
        <v>415</v>
      </c>
      <c r="P681" s="48" t="s">
        <v>376</v>
      </c>
      <c r="Q681" s="48">
        <v>5</v>
      </c>
      <c r="R681" s="320">
        <v>1000</v>
      </c>
      <c r="S681" s="317">
        <f t="shared" si="29"/>
        <v>5000</v>
      </c>
    </row>
    <row r="682" spans="13:19">
      <c r="M682" s="48" t="s">
        <v>1123</v>
      </c>
      <c r="N682" s="454">
        <v>418</v>
      </c>
      <c r="O682" s="48" t="s">
        <v>560</v>
      </c>
      <c r="P682" s="48" t="s">
        <v>376</v>
      </c>
      <c r="Q682" s="48">
        <v>10</v>
      </c>
      <c r="R682" s="320">
        <v>1000</v>
      </c>
      <c r="S682" s="317">
        <f t="shared" si="29"/>
        <v>10000</v>
      </c>
    </row>
    <row r="683" spans="13:19">
      <c r="M683" s="48" t="s">
        <v>1123</v>
      </c>
      <c r="N683" s="454">
        <v>419</v>
      </c>
      <c r="O683" s="48" t="s">
        <v>1510</v>
      </c>
      <c r="P683" s="48" t="s">
        <v>376</v>
      </c>
      <c r="Q683" s="48">
        <v>12</v>
      </c>
      <c r="R683" s="320">
        <v>1000</v>
      </c>
      <c r="S683" s="317">
        <f t="shared" si="29"/>
        <v>12000</v>
      </c>
    </row>
    <row r="684" spans="13:19">
      <c r="M684" s="48" t="s">
        <v>1123</v>
      </c>
      <c r="N684" s="454">
        <v>420</v>
      </c>
      <c r="O684" s="48" t="s">
        <v>1057</v>
      </c>
      <c r="P684" s="48" t="s">
        <v>376</v>
      </c>
      <c r="Q684" s="48">
        <v>5</v>
      </c>
      <c r="R684" s="320">
        <v>1000</v>
      </c>
      <c r="S684" s="317">
        <f t="shared" si="29"/>
        <v>5000</v>
      </c>
    </row>
    <row r="685" spans="13:19">
      <c r="M685" s="48" t="s">
        <v>1123</v>
      </c>
      <c r="N685" s="454">
        <v>421</v>
      </c>
      <c r="O685" s="48" t="s">
        <v>604</v>
      </c>
      <c r="P685" s="48" t="s">
        <v>376</v>
      </c>
      <c r="Q685" s="48">
        <v>10</v>
      </c>
      <c r="R685" s="320">
        <v>1000</v>
      </c>
      <c r="S685" s="317">
        <f t="shared" si="29"/>
        <v>10000</v>
      </c>
    </row>
    <row r="686" spans="13:19">
      <c r="M686" s="48" t="s">
        <v>1123</v>
      </c>
      <c r="N686" s="454">
        <v>422</v>
      </c>
      <c r="O686" s="48" t="s">
        <v>395</v>
      </c>
      <c r="P686" s="48" t="s">
        <v>376</v>
      </c>
      <c r="Q686" s="48">
        <v>10</v>
      </c>
      <c r="R686" s="320">
        <v>1000</v>
      </c>
      <c r="S686" s="317">
        <f t="shared" si="29"/>
        <v>10000</v>
      </c>
    </row>
    <row r="687" spans="13:19">
      <c r="M687" s="48" t="s">
        <v>1123</v>
      </c>
      <c r="N687" s="454">
        <v>423</v>
      </c>
      <c r="O687" s="48" t="s">
        <v>589</v>
      </c>
      <c r="P687" s="48" t="s">
        <v>376</v>
      </c>
      <c r="Q687" s="48">
        <v>30</v>
      </c>
      <c r="R687" s="320">
        <v>1000</v>
      </c>
      <c r="S687" s="317">
        <f t="shared" si="29"/>
        <v>30000</v>
      </c>
    </row>
    <row r="688" spans="13:19">
      <c r="M688" s="48" t="s">
        <v>1123</v>
      </c>
      <c r="N688" s="454">
        <v>424</v>
      </c>
      <c r="O688" s="48" t="s">
        <v>617</v>
      </c>
      <c r="P688" s="48" t="s">
        <v>376</v>
      </c>
      <c r="Q688" s="48">
        <v>10</v>
      </c>
      <c r="R688" s="320">
        <v>1000</v>
      </c>
      <c r="S688" s="317">
        <f t="shared" si="29"/>
        <v>10000</v>
      </c>
    </row>
    <row r="689" spans="13:19">
      <c r="M689" s="48" t="s">
        <v>1123</v>
      </c>
      <c r="N689" s="454">
        <v>425</v>
      </c>
      <c r="O689" s="48" t="s">
        <v>399</v>
      </c>
      <c r="P689" s="48" t="s">
        <v>376</v>
      </c>
      <c r="Q689" s="48">
        <v>8</v>
      </c>
      <c r="R689" s="320">
        <v>1000</v>
      </c>
      <c r="S689" s="317">
        <f t="shared" si="29"/>
        <v>8000</v>
      </c>
    </row>
    <row r="690" spans="13:19">
      <c r="M690" s="48" t="s">
        <v>1123</v>
      </c>
      <c r="N690" s="454">
        <v>426</v>
      </c>
      <c r="O690" s="48" t="s">
        <v>394</v>
      </c>
      <c r="P690" s="48" t="s">
        <v>376</v>
      </c>
      <c r="Q690" s="48">
        <v>8</v>
      </c>
      <c r="R690" s="320">
        <v>1000</v>
      </c>
      <c r="S690" s="317">
        <f t="shared" si="29"/>
        <v>8000</v>
      </c>
    </row>
    <row r="691" spans="13:19">
      <c r="M691" s="48" t="s">
        <v>1123</v>
      </c>
      <c r="N691" s="454">
        <v>427</v>
      </c>
      <c r="O691" s="48" t="s">
        <v>1511</v>
      </c>
      <c r="P691" s="48" t="s">
        <v>376</v>
      </c>
      <c r="Q691" s="48">
        <v>2</v>
      </c>
      <c r="R691" s="320">
        <v>1000</v>
      </c>
      <c r="S691" s="317">
        <f t="shared" si="29"/>
        <v>2000</v>
      </c>
    </row>
    <row r="692" spans="13:19">
      <c r="M692" s="48" t="s">
        <v>1123</v>
      </c>
      <c r="N692" s="454">
        <v>428</v>
      </c>
      <c r="O692" s="48" t="s">
        <v>1114</v>
      </c>
      <c r="P692" s="48" t="s">
        <v>376</v>
      </c>
      <c r="Q692" s="48">
        <v>2</v>
      </c>
      <c r="R692" s="320">
        <v>1000</v>
      </c>
      <c r="S692" s="317">
        <f t="shared" si="29"/>
        <v>2000</v>
      </c>
    </row>
    <row r="693" spans="13:19">
      <c r="M693" s="48" t="s">
        <v>1123</v>
      </c>
      <c r="N693" s="454">
        <v>429</v>
      </c>
      <c r="O693" s="48" t="s">
        <v>1437</v>
      </c>
      <c r="P693" s="48" t="s">
        <v>376</v>
      </c>
      <c r="Q693" s="48">
        <v>8</v>
      </c>
      <c r="R693" s="320">
        <v>1000</v>
      </c>
      <c r="S693" s="317">
        <f t="shared" si="29"/>
        <v>8000</v>
      </c>
    </row>
    <row r="694" spans="13:19">
      <c r="M694" s="48" t="s">
        <v>1123</v>
      </c>
      <c r="N694" s="454">
        <v>430</v>
      </c>
      <c r="O694" s="48" t="s">
        <v>1438</v>
      </c>
      <c r="P694" s="48" t="s">
        <v>376</v>
      </c>
      <c r="Q694" s="48">
        <v>10</v>
      </c>
      <c r="R694" s="320">
        <v>1000</v>
      </c>
      <c r="S694" s="317">
        <f t="shared" si="29"/>
        <v>10000</v>
      </c>
    </row>
    <row r="695" spans="13:19">
      <c r="M695" s="48" t="s">
        <v>1123</v>
      </c>
      <c r="N695" s="454">
        <v>431</v>
      </c>
      <c r="O695" s="48" t="s">
        <v>1439</v>
      </c>
      <c r="P695" s="48" t="s">
        <v>376</v>
      </c>
      <c r="Q695" s="48">
        <v>10</v>
      </c>
      <c r="R695" s="320">
        <v>1000</v>
      </c>
      <c r="S695" s="317">
        <f t="shared" si="29"/>
        <v>10000</v>
      </c>
    </row>
    <row r="696" spans="13:19">
      <c r="M696" s="48" t="s">
        <v>1123</v>
      </c>
      <c r="N696" s="454">
        <v>432</v>
      </c>
      <c r="O696" s="48" t="s">
        <v>614</v>
      </c>
      <c r="P696" s="48" t="s">
        <v>376</v>
      </c>
      <c r="Q696" s="48">
        <v>10</v>
      </c>
      <c r="R696" s="320">
        <v>1000</v>
      </c>
      <c r="S696" s="317">
        <f t="shared" si="29"/>
        <v>10000</v>
      </c>
    </row>
    <row r="697" spans="13:19">
      <c r="M697" s="48" t="s">
        <v>1123</v>
      </c>
      <c r="N697" s="454">
        <v>433</v>
      </c>
      <c r="O697" s="48" t="s">
        <v>464</v>
      </c>
      <c r="P697" s="48" t="s">
        <v>376</v>
      </c>
      <c r="Q697" s="48">
        <v>8</v>
      </c>
      <c r="R697" s="320">
        <v>1000</v>
      </c>
      <c r="S697" s="317">
        <f t="shared" si="29"/>
        <v>8000</v>
      </c>
    </row>
    <row r="698" spans="13:19">
      <c r="M698" s="48" t="s">
        <v>1123</v>
      </c>
      <c r="N698" s="454">
        <v>434</v>
      </c>
      <c r="O698" s="48" t="s">
        <v>465</v>
      </c>
      <c r="P698" s="48" t="s">
        <v>376</v>
      </c>
      <c r="Q698" s="48">
        <v>2</v>
      </c>
      <c r="R698" s="320">
        <v>1000</v>
      </c>
      <c r="S698" s="317">
        <f t="shared" si="29"/>
        <v>2000</v>
      </c>
    </row>
    <row r="699" spans="13:19">
      <c r="M699" s="48" t="s">
        <v>1123</v>
      </c>
      <c r="N699" s="454">
        <v>435</v>
      </c>
      <c r="O699" s="48" t="s">
        <v>1512</v>
      </c>
      <c r="P699" s="48" t="s">
        <v>376</v>
      </c>
      <c r="Q699" s="48">
        <v>2</v>
      </c>
      <c r="R699" s="320">
        <v>1000</v>
      </c>
      <c r="S699" s="317">
        <f t="shared" si="29"/>
        <v>2000</v>
      </c>
    </row>
    <row r="700" spans="13:19">
      <c r="M700" s="48" t="s">
        <v>1123</v>
      </c>
      <c r="N700" s="454">
        <v>436</v>
      </c>
      <c r="O700" s="48" t="s">
        <v>1090</v>
      </c>
      <c r="P700" s="48" t="s">
        <v>376</v>
      </c>
      <c r="Q700" s="48">
        <v>1</v>
      </c>
      <c r="R700" s="320">
        <v>1000</v>
      </c>
      <c r="S700" s="317">
        <f t="shared" si="29"/>
        <v>1000</v>
      </c>
    </row>
    <row r="701" spans="13:19">
      <c r="M701" s="48" t="s">
        <v>1123</v>
      </c>
      <c r="N701" s="454">
        <v>437</v>
      </c>
      <c r="O701" s="48" t="s">
        <v>1513</v>
      </c>
      <c r="P701" s="48" t="s">
        <v>406</v>
      </c>
      <c r="Q701" s="48">
        <v>1</v>
      </c>
      <c r="R701" s="320">
        <v>1000</v>
      </c>
      <c r="S701" s="317">
        <f t="shared" si="29"/>
        <v>1000</v>
      </c>
    </row>
    <row r="702" spans="13:19">
      <c r="M702" s="48" t="s">
        <v>1560</v>
      </c>
      <c r="N702" s="454">
        <v>438</v>
      </c>
      <c r="O702" s="48" t="s">
        <v>1514</v>
      </c>
      <c r="P702" s="48" t="s">
        <v>376</v>
      </c>
      <c r="Q702" s="48">
        <v>1</v>
      </c>
      <c r="R702" s="320">
        <v>1000</v>
      </c>
      <c r="S702" s="317">
        <f t="shared" ref="S702:S765" si="30">R702*Q702</f>
        <v>1000</v>
      </c>
    </row>
    <row r="703" spans="13:19">
      <c r="M703" s="48" t="s">
        <v>1560</v>
      </c>
      <c r="N703" s="454">
        <v>439</v>
      </c>
      <c r="O703" s="48" t="s">
        <v>1515</v>
      </c>
      <c r="P703" s="48" t="s">
        <v>376</v>
      </c>
      <c r="Q703" s="48">
        <v>1</v>
      </c>
      <c r="R703" s="320">
        <v>1000</v>
      </c>
      <c r="S703" s="317">
        <f t="shared" si="30"/>
        <v>1000</v>
      </c>
    </row>
    <row r="704" spans="13:19">
      <c r="M704" s="48" t="s">
        <v>1560</v>
      </c>
      <c r="N704" s="454">
        <v>440</v>
      </c>
      <c r="O704" s="48" t="s">
        <v>1516</v>
      </c>
      <c r="P704" s="48" t="s">
        <v>376</v>
      </c>
      <c r="Q704" s="48">
        <v>2</v>
      </c>
      <c r="R704" s="320">
        <v>1000</v>
      </c>
      <c r="S704" s="317">
        <f t="shared" si="30"/>
        <v>2000</v>
      </c>
    </row>
    <row r="705" spans="13:19">
      <c r="M705" s="48" t="s">
        <v>1560</v>
      </c>
      <c r="N705" s="454">
        <v>441</v>
      </c>
      <c r="O705" s="48" t="s">
        <v>1517</v>
      </c>
      <c r="P705" s="48" t="s">
        <v>376</v>
      </c>
      <c r="Q705" s="48">
        <v>2</v>
      </c>
      <c r="R705" s="320">
        <v>1000</v>
      </c>
      <c r="S705" s="317">
        <f t="shared" si="30"/>
        <v>2000</v>
      </c>
    </row>
    <row r="706" spans="13:19">
      <c r="M706" s="48" t="s">
        <v>1560</v>
      </c>
      <c r="N706" s="454">
        <v>442</v>
      </c>
      <c r="O706" s="48" t="s">
        <v>1518</v>
      </c>
      <c r="P706" s="48" t="s">
        <v>376</v>
      </c>
      <c r="Q706" s="48">
        <v>1</v>
      </c>
      <c r="R706" s="320">
        <v>1000</v>
      </c>
      <c r="S706" s="317">
        <f t="shared" si="30"/>
        <v>1000</v>
      </c>
    </row>
    <row r="707" spans="13:19">
      <c r="M707" s="48" t="s">
        <v>1560</v>
      </c>
      <c r="N707" s="454">
        <v>443</v>
      </c>
      <c r="O707" s="48" t="s">
        <v>558</v>
      </c>
      <c r="P707" s="48" t="s">
        <v>376</v>
      </c>
      <c r="Q707" s="48">
        <v>1</v>
      </c>
      <c r="R707" s="320">
        <v>1000</v>
      </c>
      <c r="S707" s="317">
        <f t="shared" si="30"/>
        <v>1000</v>
      </c>
    </row>
    <row r="708" spans="13:19">
      <c r="M708" s="48" t="s">
        <v>1560</v>
      </c>
      <c r="N708" s="454">
        <v>444</v>
      </c>
      <c r="O708" s="48" t="s">
        <v>1519</v>
      </c>
      <c r="P708" s="48" t="s">
        <v>376</v>
      </c>
      <c r="Q708" s="48">
        <v>2</v>
      </c>
      <c r="R708" s="320">
        <v>1000</v>
      </c>
      <c r="S708" s="317">
        <f t="shared" si="30"/>
        <v>2000</v>
      </c>
    </row>
    <row r="709" spans="13:19">
      <c r="M709" s="48" t="s">
        <v>1560</v>
      </c>
      <c r="N709" s="454">
        <v>445</v>
      </c>
      <c r="O709" s="48" t="s">
        <v>1520</v>
      </c>
      <c r="P709" s="48" t="s">
        <v>376</v>
      </c>
      <c r="Q709" s="48">
        <v>2</v>
      </c>
      <c r="R709" s="320">
        <v>1000</v>
      </c>
      <c r="S709" s="317">
        <f t="shared" si="30"/>
        <v>2000</v>
      </c>
    </row>
    <row r="710" spans="13:19">
      <c r="M710" s="48" t="s">
        <v>1560</v>
      </c>
      <c r="N710" s="454">
        <v>446</v>
      </c>
      <c r="O710" s="48" t="s">
        <v>434</v>
      </c>
      <c r="P710" s="48" t="s">
        <v>376</v>
      </c>
      <c r="Q710" s="48">
        <v>2</v>
      </c>
      <c r="R710" s="320">
        <v>1000</v>
      </c>
      <c r="S710" s="317">
        <f t="shared" si="30"/>
        <v>2000</v>
      </c>
    </row>
    <row r="711" spans="13:19">
      <c r="M711" s="48" t="s">
        <v>1560</v>
      </c>
      <c r="N711" s="454">
        <v>447</v>
      </c>
      <c r="O711" s="48" t="s">
        <v>404</v>
      </c>
      <c r="P711" s="48" t="s">
        <v>376</v>
      </c>
      <c r="Q711" s="48">
        <v>1</v>
      </c>
      <c r="R711" s="320">
        <v>1000</v>
      </c>
      <c r="S711" s="317">
        <f t="shared" si="30"/>
        <v>1000</v>
      </c>
    </row>
    <row r="712" spans="13:19">
      <c r="M712" s="48" t="s">
        <v>1560</v>
      </c>
      <c r="N712" s="454">
        <v>448</v>
      </c>
      <c r="O712" s="48" t="s">
        <v>556</v>
      </c>
      <c r="P712" s="48" t="s">
        <v>376</v>
      </c>
      <c r="Q712" s="48">
        <v>1</v>
      </c>
      <c r="R712" s="320">
        <v>1000</v>
      </c>
      <c r="S712" s="317">
        <f t="shared" si="30"/>
        <v>1000</v>
      </c>
    </row>
    <row r="713" spans="13:19">
      <c r="M713" s="48" t="s">
        <v>1560</v>
      </c>
      <c r="N713" s="454">
        <v>449</v>
      </c>
      <c r="O713" s="48" t="s">
        <v>1076</v>
      </c>
      <c r="P713" s="48" t="s">
        <v>376</v>
      </c>
      <c r="Q713" s="48">
        <v>2</v>
      </c>
      <c r="R713" s="320">
        <v>1000</v>
      </c>
      <c r="S713" s="317">
        <f t="shared" si="30"/>
        <v>2000</v>
      </c>
    </row>
    <row r="714" spans="13:19">
      <c r="M714" s="48" t="s">
        <v>1560</v>
      </c>
      <c r="N714" s="454">
        <v>450</v>
      </c>
      <c r="O714" s="48" t="s">
        <v>1521</v>
      </c>
      <c r="P714" s="48" t="s">
        <v>376</v>
      </c>
      <c r="Q714" s="48">
        <v>2</v>
      </c>
      <c r="R714" s="320">
        <v>1000</v>
      </c>
      <c r="S714" s="317">
        <f t="shared" si="30"/>
        <v>2000</v>
      </c>
    </row>
    <row r="715" spans="13:19">
      <c r="M715" s="48" t="s">
        <v>1560</v>
      </c>
      <c r="N715" s="454">
        <v>451</v>
      </c>
      <c r="O715" s="48" t="s">
        <v>1087</v>
      </c>
      <c r="P715" s="48" t="s">
        <v>376</v>
      </c>
      <c r="Q715" s="48">
        <v>6</v>
      </c>
      <c r="R715" s="320">
        <v>1000</v>
      </c>
      <c r="S715" s="317">
        <f t="shared" si="30"/>
        <v>6000</v>
      </c>
    </row>
    <row r="716" spans="13:19">
      <c r="M716" s="48" t="s">
        <v>1560</v>
      </c>
      <c r="N716" s="454">
        <v>452</v>
      </c>
      <c r="O716" s="48" t="s">
        <v>1086</v>
      </c>
      <c r="P716" s="48" t="s">
        <v>376</v>
      </c>
      <c r="Q716" s="48">
        <v>2</v>
      </c>
      <c r="R716" s="320">
        <v>1000</v>
      </c>
      <c r="S716" s="317">
        <f t="shared" si="30"/>
        <v>2000</v>
      </c>
    </row>
    <row r="717" spans="13:19">
      <c r="M717" s="48" t="s">
        <v>1560</v>
      </c>
      <c r="N717" s="454">
        <v>453</v>
      </c>
      <c r="O717" s="48" t="s">
        <v>1418</v>
      </c>
      <c r="P717" s="48" t="s">
        <v>376</v>
      </c>
      <c r="Q717" s="48">
        <v>1</v>
      </c>
      <c r="R717" s="320">
        <v>1000</v>
      </c>
      <c r="S717" s="317">
        <f t="shared" si="30"/>
        <v>1000</v>
      </c>
    </row>
    <row r="718" spans="13:19">
      <c r="M718" s="48" t="s">
        <v>1560</v>
      </c>
      <c r="N718" s="454">
        <v>454</v>
      </c>
      <c r="O718" s="48" t="s">
        <v>1079</v>
      </c>
      <c r="P718" s="48" t="s">
        <v>376</v>
      </c>
      <c r="Q718" s="48">
        <v>4</v>
      </c>
      <c r="R718" s="320">
        <v>1000</v>
      </c>
      <c r="S718" s="317">
        <f t="shared" si="30"/>
        <v>4000</v>
      </c>
    </row>
    <row r="719" spans="13:19">
      <c r="M719" s="48" t="s">
        <v>1560</v>
      </c>
      <c r="N719" s="454">
        <v>455</v>
      </c>
      <c r="O719" s="48" t="s">
        <v>1522</v>
      </c>
      <c r="P719" s="48" t="s">
        <v>376</v>
      </c>
      <c r="Q719" s="48">
        <v>2</v>
      </c>
      <c r="R719" s="320">
        <v>1000</v>
      </c>
      <c r="S719" s="317">
        <f t="shared" si="30"/>
        <v>2000</v>
      </c>
    </row>
    <row r="720" spans="13:19">
      <c r="M720" s="48" t="s">
        <v>1560</v>
      </c>
      <c r="N720" s="454">
        <v>456</v>
      </c>
      <c r="O720" s="48" t="s">
        <v>1082</v>
      </c>
      <c r="P720" s="48" t="s">
        <v>376</v>
      </c>
      <c r="Q720" s="48">
        <v>3</v>
      </c>
      <c r="R720" s="320">
        <v>1000</v>
      </c>
      <c r="S720" s="317">
        <f t="shared" si="30"/>
        <v>3000</v>
      </c>
    </row>
    <row r="721" spans="13:19">
      <c r="M721" s="48" t="s">
        <v>1560</v>
      </c>
      <c r="N721" s="454">
        <v>457</v>
      </c>
      <c r="O721" s="48" t="s">
        <v>1080</v>
      </c>
      <c r="P721" s="48" t="s">
        <v>376</v>
      </c>
      <c r="Q721" s="48">
        <v>2</v>
      </c>
      <c r="R721" s="320">
        <v>1000</v>
      </c>
      <c r="S721" s="317">
        <f t="shared" si="30"/>
        <v>2000</v>
      </c>
    </row>
    <row r="722" spans="13:19">
      <c r="M722" s="48" t="s">
        <v>1560</v>
      </c>
      <c r="N722" s="454">
        <v>458</v>
      </c>
      <c r="O722" s="48" t="s">
        <v>1523</v>
      </c>
      <c r="P722" s="48" t="s">
        <v>376</v>
      </c>
      <c r="Q722" s="48">
        <v>1</v>
      </c>
      <c r="R722" s="320">
        <v>1000</v>
      </c>
      <c r="S722" s="317">
        <f t="shared" si="30"/>
        <v>1000</v>
      </c>
    </row>
    <row r="723" spans="13:19">
      <c r="M723" s="48" t="s">
        <v>1560</v>
      </c>
      <c r="N723" s="454">
        <v>459</v>
      </c>
      <c r="O723" s="48" t="s">
        <v>1524</v>
      </c>
      <c r="P723" s="48" t="s">
        <v>376</v>
      </c>
      <c r="Q723" s="48">
        <v>1</v>
      </c>
      <c r="R723" s="320">
        <v>1000</v>
      </c>
      <c r="S723" s="317">
        <f t="shared" si="30"/>
        <v>1000</v>
      </c>
    </row>
    <row r="724" spans="13:19">
      <c r="M724" s="48" t="s">
        <v>1560</v>
      </c>
      <c r="N724" s="454">
        <v>460</v>
      </c>
      <c r="O724" s="48" t="s">
        <v>1525</v>
      </c>
      <c r="P724" s="48" t="s">
        <v>376</v>
      </c>
      <c r="Q724" s="48">
        <v>3</v>
      </c>
      <c r="R724" s="320">
        <v>1000</v>
      </c>
      <c r="S724" s="317">
        <f t="shared" si="30"/>
        <v>3000</v>
      </c>
    </row>
    <row r="725" spans="13:19">
      <c r="M725" s="48" t="s">
        <v>1560</v>
      </c>
      <c r="N725" s="454">
        <v>461</v>
      </c>
      <c r="O725" s="48" t="s">
        <v>1526</v>
      </c>
      <c r="P725" s="48" t="s">
        <v>376</v>
      </c>
      <c r="Q725" s="48">
        <v>6</v>
      </c>
      <c r="R725" s="320">
        <v>1000</v>
      </c>
      <c r="S725" s="317">
        <f t="shared" si="30"/>
        <v>6000</v>
      </c>
    </row>
    <row r="726" spans="13:19">
      <c r="M726" s="48" t="s">
        <v>1560</v>
      </c>
      <c r="N726" s="454">
        <v>462</v>
      </c>
      <c r="O726" s="48" t="s">
        <v>1527</v>
      </c>
      <c r="P726" s="48" t="s">
        <v>376</v>
      </c>
      <c r="Q726" s="48">
        <v>2</v>
      </c>
      <c r="R726" s="320">
        <v>1000</v>
      </c>
      <c r="S726" s="317">
        <f t="shared" si="30"/>
        <v>2000</v>
      </c>
    </row>
    <row r="727" spans="13:19">
      <c r="M727" s="48" t="s">
        <v>1560</v>
      </c>
      <c r="N727" s="454">
        <v>463</v>
      </c>
      <c r="O727" s="48" t="s">
        <v>1528</v>
      </c>
      <c r="P727" s="48" t="s">
        <v>376</v>
      </c>
      <c r="Q727" s="48">
        <v>1</v>
      </c>
      <c r="R727" s="320">
        <v>1000</v>
      </c>
      <c r="S727" s="317">
        <f t="shared" si="30"/>
        <v>1000</v>
      </c>
    </row>
    <row r="728" spans="13:19">
      <c r="M728" s="48" t="s">
        <v>1560</v>
      </c>
      <c r="N728" s="454">
        <v>464</v>
      </c>
      <c r="O728" s="48" t="s">
        <v>1529</v>
      </c>
      <c r="P728" s="48" t="s">
        <v>401</v>
      </c>
      <c r="Q728" s="48">
        <v>1</v>
      </c>
      <c r="R728" s="320">
        <v>1000</v>
      </c>
      <c r="S728" s="317">
        <f t="shared" si="30"/>
        <v>1000</v>
      </c>
    </row>
    <row r="729" spans="13:19">
      <c r="M729" s="48" t="s">
        <v>1560</v>
      </c>
      <c r="N729" s="454">
        <v>465</v>
      </c>
      <c r="O729" s="48" t="s">
        <v>378</v>
      </c>
      <c r="P729" s="48" t="s">
        <v>376</v>
      </c>
      <c r="Q729" s="48">
        <v>5</v>
      </c>
      <c r="R729" s="320">
        <v>1000</v>
      </c>
      <c r="S729" s="317">
        <f t="shared" si="30"/>
        <v>5000</v>
      </c>
    </row>
    <row r="730" spans="13:19">
      <c r="M730" s="48" t="s">
        <v>1560</v>
      </c>
      <c r="N730" s="454">
        <v>466</v>
      </c>
      <c r="O730" s="48" t="s">
        <v>1530</v>
      </c>
      <c r="P730" s="48" t="s">
        <v>376</v>
      </c>
      <c r="Q730" s="48">
        <v>2</v>
      </c>
      <c r="R730" s="320">
        <v>1000</v>
      </c>
      <c r="S730" s="317">
        <f t="shared" si="30"/>
        <v>2000</v>
      </c>
    </row>
    <row r="731" spans="13:19">
      <c r="M731" s="48" t="s">
        <v>1560</v>
      </c>
      <c r="N731" s="454">
        <v>467</v>
      </c>
      <c r="O731" s="48" t="s">
        <v>1531</v>
      </c>
      <c r="P731" s="48" t="s">
        <v>376</v>
      </c>
      <c r="Q731" s="48">
        <v>2</v>
      </c>
      <c r="R731" s="320">
        <v>1000</v>
      </c>
      <c r="S731" s="317">
        <f t="shared" si="30"/>
        <v>2000</v>
      </c>
    </row>
    <row r="732" spans="13:19">
      <c r="M732" s="48" t="s">
        <v>1560</v>
      </c>
      <c r="N732" s="454">
        <v>468</v>
      </c>
      <c r="O732" s="48" t="s">
        <v>408</v>
      </c>
      <c r="P732" s="48" t="s">
        <v>376</v>
      </c>
      <c r="Q732" s="48">
        <v>2</v>
      </c>
      <c r="R732" s="320">
        <v>1000</v>
      </c>
      <c r="S732" s="317">
        <f t="shared" si="30"/>
        <v>2000</v>
      </c>
    </row>
    <row r="733" spans="13:19">
      <c r="M733" s="48" t="s">
        <v>1560</v>
      </c>
      <c r="N733" s="454">
        <v>469</v>
      </c>
      <c r="O733" s="48" t="s">
        <v>1102</v>
      </c>
      <c r="P733" s="48" t="s">
        <v>376</v>
      </c>
      <c r="Q733" s="48">
        <v>10</v>
      </c>
      <c r="R733" s="320">
        <v>1000</v>
      </c>
      <c r="S733" s="317">
        <f t="shared" si="30"/>
        <v>10000</v>
      </c>
    </row>
    <row r="734" spans="13:19">
      <c r="M734" s="48" t="s">
        <v>1560</v>
      </c>
      <c r="N734" s="454">
        <v>470</v>
      </c>
      <c r="O734" s="48" t="s">
        <v>1559</v>
      </c>
      <c r="P734" s="48" t="s">
        <v>376</v>
      </c>
      <c r="Q734" s="48">
        <v>15</v>
      </c>
      <c r="R734" s="320">
        <v>1000</v>
      </c>
      <c r="S734" s="317">
        <f t="shared" si="30"/>
        <v>15000</v>
      </c>
    </row>
    <row r="735" spans="13:19">
      <c r="M735" s="48" t="s">
        <v>1560</v>
      </c>
      <c r="N735" s="454">
        <v>471</v>
      </c>
      <c r="O735" s="48" t="s">
        <v>388</v>
      </c>
      <c r="P735" s="48" t="s">
        <v>376</v>
      </c>
      <c r="Q735" s="48">
        <v>2</v>
      </c>
      <c r="R735" s="320">
        <v>1000</v>
      </c>
      <c r="S735" s="317">
        <f t="shared" si="30"/>
        <v>2000</v>
      </c>
    </row>
    <row r="736" spans="13:19">
      <c r="M736" s="48" t="s">
        <v>1560</v>
      </c>
      <c r="N736" s="454">
        <v>472</v>
      </c>
      <c r="O736" s="48" t="s">
        <v>423</v>
      </c>
      <c r="P736" s="48" t="s">
        <v>376</v>
      </c>
      <c r="Q736" s="48">
        <v>3</v>
      </c>
      <c r="R736" s="320">
        <v>1000</v>
      </c>
      <c r="S736" s="317">
        <f t="shared" si="30"/>
        <v>3000</v>
      </c>
    </row>
    <row r="737" spans="13:19">
      <c r="M737" s="48" t="s">
        <v>1560</v>
      </c>
      <c r="N737" s="454">
        <v>473</v>
      </c>
      <c r="O737" s="48" t="s">
        <v>1532</v>
      </c>
      <c r="P737" s="48" t="s">
        <v>376</v>
      </c>
      <c r="Q737" s="48">
        <v>2</v>
      </c>
      <c r="R737" s="320">
        <v>1000</v>
      </c>
      <c r="S737" s="317">
        <f t="shared" si="30"/>
        <v>2000</v>
      </c>
    </row>
    <row r="738" spans="13:19">
      <c r="M738" s="48" t="s">
        <v>1560</v>
      </c>
      <c r="N738" s="454">
        <v>474</v>
      </c>
      <c r="O738" s="48" t="s">
        <v>1533</v>
      </c>
      <c r="P738" s="48" t="s">
        <v>376</v>
      </c>
      <c r="Q738" s="48">
        <v>2</v>
      </c>
      <c r="R738" s="320">
        <v>1000</v>
      </c>
      <c r="S738" s="317">
        <f t="shared" si="30"/>
        <v>2000</v>
      </c>
    </row>
    <row r="739" spans="13:19">
      <c r="M739" s="48" t="s">
        <v>1560</v>
      </c>
      <c r="N739" s="454">
        <v>475</v>
      </c>
      <c r="O739" s="48" t="s">
        <v>405</v>
      </c>
      <c r="P739" s="48" t="s">
        <v>406</v>
      </c>
      <c r="Q739" s="48">
        <v>1</v>
      </c>
      <c r="R739" s="320">
        <v>1000</v>
      </c>
      <c r="S739" s="317">
        <f t="shared" si="30"/>
        <v>1000</v>
      </c>
    </row>
    <row r="740" spans="13:19">
      <c r="M740" s="48" t="s">
        <v>1560</v>
      </c>
      <c r="N740" s="454">
        <v>476</v>
      </c>
      <c r="O740" s="48" t="s">
        <v>1534</v>
      </c>
      <c r="P740" s="48" t="s">
        <v>406</v>
      </c>
      <c r="Q740" s="48">
        <v>3</v>
      </c>
      <c r="R740" s="320">
        <v>1000</v>
      </c>
      <c r="S740" s="317">
        <f t="shared" si="30"/>
        <v>3000</v>
      </c>
    </row>
    <row r="741" spans="13:19">
      <c r="M741" s="48" t="s">
        <v>1560</v>
      </c>
      <c r="N741" s="454">
        <v>477</v>
      </c>
      <c r="O741" s="48" t="s">
        <v>1421</v>
      </c>
      <c r="P741" s="48" t="s">
        <v>406</v>
      </c>
      <c r="Q741" s="48">
        <v>2</v>
      </c>
      <c r="R741" s="320">
        <v>1000</v>
      </c>
      <c r="S741" s="317">
        <f t="shared" si="30"/>
        <v>2000</v>
      </c>
    </row>
    <row r="742" spans="13:19">
      <c r="M742" s="48" t="s">
        <v>1560</v>
      </c>
      <c r="N742" s="454">
        <v>478</v>
      </c>
      <c r="O742" s="48" t="s">
        <v>1535</v>
      </c>
      <c r="P742" s="48" t="s">
        <v>406</v>
      </c>
      <c r="Q742" s="48">
        <v>3</v>
      </c>
      <c r="R742" s="320">
        <v>1000</v>
      </c>
      <c r="S742" s="317">
        <f t="shared" si="30"/>
        <v>3000</v>
      </c>
    </row>
    <row r="743" spans="13:19">
      <c r="M743" s="48" t="s">
        <v>1560</v>
      </c>
      <c r="N743" s="454">
        <v>479</v>
      </c>
      <c r="O743" s="48" t="s">
        <v>1536</v>
      </c>
      <c r="P743" s="48" t="s">
        <v>406</v>
      </c>
      <c r="Q743" s="48">
        <v>3</v>
      </c>
      <c r="R743" s="320">
        <v>1000</v>
      </c>
      <c r="S743" s="317">
        <f t="shared" si="30"/>
        <v>3000</v>
      </c>
    </row>
    <row r="744" spans="13:19">
      <c r="M744" s="48" t="s">
        <v>1560</v>
      </c>
      <c r="N744" s="454">
        <v>480</v>
      </c>
      <c r="O744" s="48" t="s">
        <v>1537</v>
      </c>
      <c r="P744" s="48" t="s">
        <v>406</v>
      </c>
      <c r="Q744" s="48">
        <v>10</v>
      </c>
      <c r="R744" s="320">
        <v>1000</v>
      </c>
      <c r="S744" s="317">
        <f t="shared" si="30"/>
        <v>10000</v>
      </c>
    </row>
    <row r="745" spans="13:19">
      <c r="M745" s="48" t="s">
        <v>1560</v>
      </c>
      <c r="N745" s="454">
        <v>481</v>
      </c>
      <c r="O745" s="48" t="s">
        <v>1538</v>
      </c>
      <c r="P745" s="48" t="s">
        <v>406</v>
      </c>
      <c r="Q745" s="48">
        <v>5</v>
      </c>
      <c r="R745" s="320">
        <v>1000</v>
      </c>
      <c r="S745" s="317">
        <f t="shared" si="30"/>
        <v>5000</v>
      </c>
    </row>
    <row r="746" spans="13:19">
      <c r="M746" s="48" t="s">
        <v>1560</v>
      </c>
      <c r="N746" s="454">
        <v>482</v>
      </c>
      <c r="O746" s="48" t="s">
        <v>1539</v>
      </c>
      <c r="P746" s="48" t="s">
        <v>406</v>
      </c>
      <c r="Q746" s="48">
        <v>3</v>
      </c>
      <c r="R746" s="320">
        <v>1000</v>
      </c>
      <c r="S746" s="317">
        <f t="shared" si="30"/>
        <v>3000</v>
      </c>
    </row>
    <row r="747" spans="13:19">
      <c r="M747" s="48" t="s">
        <v>1560</v>
      </c>
      <c r="N747" s="454">
        <v>483</v>
      </c>
      <c r="O747" s="48" t="s">
        <v>1540</v>
      </c>
      <c r="P747" s="48" t="s">
        <v>406</v>
      </c>
      <c r="Q747" s="48">
        <v>2</v>
      </c>
      <c r="R747" s="320">
        <v>1000</v>
      </c>
      <c r="S747" s="317">
        <f t="shared" si="30"/>
        <v>2000</v>
      </c>
    </row>
    <row r="748" spans="13:19">
      <c r="M748" s="48" t="s">
        <v>1560</v>
      </c>
      <c r="N748" s="454">
        <v>484</v>
      </c>
      <c r="O748" s="48" t="s">
        <v>1541</v>
      </c>
      <c r="P748" s="48" t="s">
        <v>406</v>
      </c>
      <c r="Q748" s="48">
        <v>3</v>
      </c>
      <c r="R748" s="320">
        <v>1000</v>
      </c>
      <c r="S748" s="317">
        <f t="shared" si="30"/>
        <v>3000</v>
      </c>
    </row>
    <row r="749" spans="13:19">
      <c r="M749" s="48" t="s">
        <v>1560</v>
      </c>
      <c r="N749" s="454">
        <v>485</v>
      </c>
      <c r="O749" s="48" t="s">
        <v>1542</v>
      </c>
      <c r="P749" s="48" t="s">
        <v>376</v>
      </c>
      <c r="Q749" s="48">
        <v>2</v>
      </c>
      <c r="R749" s="320">
        <v>1000</v>
      </c>
      <c r="S749" s="317">
        <f t="shared" si="30"/>
        <v>2000</v>
      </c>
    </row>
    <row r="750" spans="13:19">
      <c r="M750" s="48" t="s">
        <v>1560</v>
      </c>
      <c r="N750" s="454">
        <v>486</v>
      </c>
      <c r="O750" s="48" t="s">
        <v>1543</v>
      </c>
      <c r="P750" s="48" t="s">
        <v>406</v>
      </c>
      <c r="Q750" s="48">
        <v>2</v>
      </c>
      <c r="R750" s="320">
        <v>1000</v>
      </c>
      <c r="S750" s="317">
        <f t="shared" si="30"/>
        <v>2000</v>
      </c>
    </row>
    <row r="751" spans="13:19">
      <c r="M751" s="48" t="s">
        <v>1560</v>
      </c>
      <c r="N751" s="454">
        <v>487</v>
      </c>
      <c r="O751" s="48" t="s">
        <v>1544</v>
      </c>
      <c r="P751" s="48" t="s">
        <v>406</v>
      </c>
      <c r="Q751" s="48">
        <v>4</v>
      </c>
      <c r="R751" s="320">
        <v>1000</v>
      </c>
      <c r="S751" s="317">
        <f t="shared" si="30"/>
        <v>4000</v>
      </c>
    </row>
    <row r="752" spans="13:19">
      <c r="M752" s="48" t="s">
        <v>1560</v>
      </c>
      <c r="N752" s="454">
        <v>488</v>
      </c>
      <c r="O752" s="48" t="s">
        <v>1545</v>
      </c>
      <c r="P752" s="48" t="s">
        <v>406</v>
      </c>
      <c r="Q752" s="48">
        <v>4</v>
      </c>
      <c r="R752" s="320">
        <v>1000</v>
      </c>
      <c r="S752" s="317">
        <f t="shared" si="30"/>
        <v>4000</v>
      </c>
    </row>
    <row r="753" spans="13:19">
      <c r="M753" s="48" t="s">
        <v>1560</v>
      </c>
      <c r="N753" s="454">
        <v>489</v>
      </c>
      <c r="O753" s="48" t="s">
        <v>1546</v>
      </c>
      <c r="P753" s="48" t="s">
        <v>376</v>
      </c>
      <c r="Q753" s="48">
        <v>1</v>
      </c>
      <c r="R753" s="320">
        <v>1000</v>
      </c>
      <c r="S753" s="317">
        <f t="shared" si="30"/>
        <v>1000</v>
      </c>
    </row>
    <row r="754" spans="13:19">
      <c r="M754" s="48" t="s">
        <v>1560</v>
      </c>
      <c r="N754" s="454">
        <v>490</v>
      </c>
      <c r="O754" s="48" t="s">
        <v>1547</v>
      </c>
      <c r="P754" s="48" t="s">
        <v>376</v>
      </c>
      <c r="Q754" s="48">
        <v>1</v>
      </c>
      <c r="R754" s="320">
        <v>1000</v>
      </c>
      <c r="S754" s="317">
        <f t="shared" si="30"/>
        <v>1000</v>
      </c>
    </row>
    <row r="755" spans="13:19">
      <c r="M755" s="48" t="s">
        <v>1560</v>
      </c>
      <c r="N755" s="454">
        <v>491</v>
      </c>
      <c r="O755" s="48" t="s">
        <v>1548</v>
      </c>
      <c r="P755" s="48" t="s">
        <v>376</v>
      </c>
      <c r="Q755" s="48">
        <v>2</v>
      </c>
      <c r="R755" s="320">
        <v>1000</v>
      </c>
      <c r="S755" s="317">
        <f t="shared" si="30"/>
        <v>2000</v>
      </c>
    </row>
    <row r="756" spans="13:19">
      <c r="M756" s="48" t="s">
        <v>1560</v>
      </c>
      <c r="N756" s="454">
        <v>492</v>
      </c>
      <c r="O756" s="48" t="s">
        <v>1549</v>
      </c>
      <c r="P756" s="48" t="s">
        <v>376</v>
      </c>
      <c r="Q756" s="48">
        <v>10</v>
      </c>
      <c r="R756" s="320">
        <v>1000</v>
      </c>
      <c r="S756" s="317">
        <f t="shared" si="30"/>
        <v>10000</v>
      </c>
    </row>
    <row r="757" spans="13:19">
      <c r="M757" s="48" t="s">
        <v>1560</v>
      </c>
      <c r="N757" s="454">
        <v>493</v>
      </c>
      <c r="O757" s="48" t="s">
        <v>384</v>
      </c>
      <c r="P757" s="48" t="s">
        <v>376</v>
      </c>
      <c r="Q757" s="48">
        <v>1</v>
      </c>
      <c r="R757" s="320">
        <v>1000</v>
      </c>
      <c r="S757" s="317">
        <f t="shared" si="30"/>
        <v>1000</v>
      </c>
    </row>
    <row r="758" spans="13:19">
      <c r="M758" s="48" t="s">
        <v>1560</v>
      </c>
      <c r="N758" s="454">
        <v>494</v>
      </c>
      <c r="O758" s="48" t="s">
        <v>1550</v>
      </c>
      <c r="P758" s="48" t="s">
        <v>376</v>
      </c>
      <c r="Q758" s="48">
        <v>5</v>
      </c>
      <c r="R758" s="320">
        <v>1000</v>
      </c>
      <c r="S758" s="317">
        <f t="shared" si="30"/>
        <v>5000</v>
      </c>
    </row>
    <row r="759" spans="13:19">
      <c r="M759" s="48" t="s">
        <v>1560</v>
      </c>
      <c r="N759" s="454">
        <v>495</v>
      </c>
      <c r="O759" s="48" t="s">
        <v>1057</v>
      </c>
      <c r="P759" s="48" t="s">
        <v>376</v>
      </c>
      <c r="Q759" s="48">
        <v>4</v>
      </c>
      <c r="R759" s="320">
        <v>1000</v>
      </c>
      <c r="S759" s="317">
        <f t="shared" si="30"/>
        <v>4000</v>
      </c>
    </row>
    <row r="760" spans="13:19">
      <c r="M760" s="48" t="s">
        <v>1560</v>
      </c>
      <c r="N760" s="454">
        <v>496</v>
      </c>
      <c r="O760" s="48" t="s">
        <v>1088</v>
      </c>
      <c r="P760" s="48" t="s">
        <v>376</v>
      </c>
      <c r="Q760" s="48">
        <v>5</v>
      </c>
      <c r="R760" s="320">
        <v>1000</v>
      </c>
      <c r="S760" s="317">
        <f t="shared" si="30"/>
        <v>5000</v>
      </c>
    </row>
    <row r="761" spans="13:19">
      <c r="M761" s="48" t="s">
        <v>1560</v>
      </c>
      <c r="N761" s="454">
        <v>497</v>
      </c>
      <c r="O761" s="48" t="s">
        <v>1089</v>
      </c>
      <c r="P761" s="48" t="s">
        <v>376</v>
      </c>
      <c r="Q761" s="48">
        <v>5</v>
      </c>
      <c r="R761" s="320">
        <v>1000</v>
      </c>
      <c r="S761" s="317">
        <f t="shared" si="30"/>
        <v>5000</v>
      </c>
    </row>
    <row r="762" spans="13:19">
      <c r="M762" s="48" t="s">
        <v>1560</v>
      </c>
      <c r="N762" s="454">
        <v>498</v>
      </c>
      <c r="O762" s="48" t="s">
        <v>1551</v>
      </c>
      <c r="P762" s="48" t="s">
        <v>376</v>
      </c>
      <c r="Q762" s="48">
        <v>5</v>
      </c>
      <c r="R762" s="320">
        <v>1000</v>
      </c>
      <c r="S762" s="317">
        <f t="shared" si="30"/>
        <v>5000</v>
      </c>
    </row>
    <row r="763" spans="13:19">
      <c r="M763" s="48" t="s">
        <v>1560</v>
      </c>
      <c r="N763" s="454">
        <v>499</v>
      </c>
      <c r="O763" s="48" t="s">
        <v>608</v>
      </c>
      <c r="P763" s="48" t="s">
        <v>376</v>
      </c>
      <c r="Q763" s="48">
        <v>5</v>
      </c>
      <c r="R763" s="320">
        <v>1000</v>
      </c>
      <c r="S763" s="317">
        <f t="shared" si="30"/>
        <v>5000</v>
      </c>
    </row>
    <row r="764" spans="13:19">
      <c r="M764" s="48" t="s">
        <v>1560</v>
      </c>
      <c r="N764" s="454">
        <v>500</v>
      </c>
      <c r="O764" s="48" t="s">
        <v>1426</v>
      </c>
      <c r="P764" s="48" t="s">
        <v>376</v>
      </c>
      <c r="Q764" s="48">
        <v>30</v>
      </c>
      <c r="R764" s="320">
        <v>1000</v>
      </c>
      <c r="S764" s="317">
        <f t="shared" si="30"/>
        <v>30000</v>
      </c>
    </row>
    <row r="765" spans="13:19">
      <c r="M765" s="48" t="s">
        <v>1560</v>
      </c>
      <c r="N765" s="454">
        <v>501</v>
      </c>
      <c r="O765" s="48" t="s">
        <v>1107</v>
      </c>
      <c r="P765" s="48" t="s">
        <v>376</v>
      </c>
      <c r="Q765" s="48">
        <v>30</v>
      </c>
      <c r="R765" s="320">
        <v>1000</v>
      </c>
      <c r="S765" s="317">
        <f t="shared" si="30"/>
        <v>30000</v>
      </c>
    </row>
    <row r="766" spans="13:19">
      <c r="M766" s="48" t="s">
        <v>1560</v>
      </c>
      <c r="N766" s="454">
        <v>502</v>
      </c>
      <c r="O766" s="48" t="s">
        <v>1108</v>
      </c>
      <c r="P766" s="48" t="s">
        <v>376</v>
      </c>
      <c r="Q766" s="48">
        <v>30</v>
      </c>
      <c r="R766" s="320">
        <v>1000</v>
      </c>
      <c r="S766" s="317">
        <f t="shared" ref="S766:S806" si="31">R766*Q766</f>
        <v>30000</v>
      </c>
    </row>
    <row r="767" spans="13:19">
      <c r="M767" s="48" t="s">
        <v>1560</v>
      </c>
      <c r="N767" s="454">
        <v>503</v>
      </c>
      <c r="O767" s="48" t="s">
        <v>1109</v>
      </c>
      <c r="P767" s="48" t="s">
        <v>376</v>
      </c>
      <c r="Q767" s="48">
        <v>30</v>
      </c>
      <c r="R767" s="320">
        <v>1000</v>
      </c>
      <c r="S767" s="317">
        <f t="shared" si="31"/>
        <v>30000</v>
      </c>
    </row>
    <row r="768" spans="13:19">
      <c r="M768" s="48" t="s">
        <v>1560</v>
      </c>
      <c r="N768" s="454">
        <v>504</v>
      </c>
      <c r="O768" s="48" t="s">
        <v>1110</v>
      </c>
      <c r="P768" s="48" t="s">
        <v>376</v>
      </c>
      <c r="Q768" s="48">
        <v>2</v>
      </c>
      <c r="R768" s="320">
        <v>1000</v>
      </c>
      <c r="S768" s="317">
        <f t="shared" si="31"/>
        <v>2000</v>
      </c>
    </row>
    <row r="769" spans="13:19">
      <c r="M769" s="48" t="s">
        <v>1560</v>
      </c>
      <c r="N769" s="454">
        <v>505</v>
      </c>
      <c r="O769" s="48" t="s">
        <v>403</v>
      </c>
      <c r="P769" s="48" t="s">
        <v>376</v>
      </c>
      <c r="Q769" s="48">
        <v>2</v>
      </c>
      <c r="R769" s="320">
        <v>1000</v>
      </c>
      <c r="S769" s="317">
        <f t="shared" si="31"/>
        <v>2000</v>
      </c>
    </row>
    <row r="770" spans="13:19">
      <c r="M770" s="48" t="s">
        <v>1560</v>
      </c>
      <c r="N770" s="454">
        <v>506</v>
      </c>
      <c r="O770" s="48" t="s">
        <v>392</v>
      </c>
      <c r="P770" s="48" t="s">
        <v>376</v>
      </c>
      <c r="Q770" s="48">
        <v>3</v>
      </c>
      <c r="R770" s="320">
        <v>1000</v>
      </c>
      <c r="S770" s="317">
        <f t="shared" si="31"/>
        <v>3000</v>
      </c>
    </row>
    <row r="771" spans="13:19">
      <c r="M771" s="48" t="s">
        <v>1560</v>
      </c>
      <c r="N771" s="454">
        <v>507</v>
      </c>
      <c r="O771" s="48" t="s">
        <v>625</v>
      </c>
      <c r="P771" s="48" t="s">
        <v>376</v>
      </c>
      <c r="Q771" s="48">
        <v>3</v>
      </c>
      <c r="R771" s="320">
        <v>1000</v>
      </c>
      <c r="S771" s="317">
        <f t="shared" si="31"/>
        <v>3000</v>
      </c>
    </row>
    <row r="772" spans="13:19">
      <c r="M772" s="48" t="s">
        <v>1560</v>
      </c>
      <c r="N772" s="454">
        <v>508</v>
      </c>
      <c r="O772" s="48" t="s">
        <v>389</v>
      </c>
      <c r="P772" s="48" t="s">
        <v>376</v>
      </c>
      <c r="Q772" s="48">
        <v>3</v>
      </c>
      <c r="R772" s="320">
        <v>1000</v>
      </c>
      <c r="S772" s="317">
        <f t="shared" si="31"/>
        <v>3000</v>
      </c>
    </row>
    <row r="773" spans="13:19">
      <c r="M773" s="48" t="s">
        <v>1560</v>
      </c>
      <c r="N773" s="454">
        <v>509</v>
      </c>
      <c r="O773" s="48" t="s">
        <v>1120</v>
      </c>
      <c r="P773" s="48" t="s">
        <v>376</v>
      </c>
      <c r="Q773" s="48">
        <v>3</v>
      </c>
      <c r="R773" s="320">
        <v>1000</v>
      </c>
      <c r="S773" s="317">
        <f t="shared" si="31"/>
        <v>3000</v>
      </c>
    </row>
    <row r="774" spans="13:19">
      <c r="M774" s="48" t="s">
        <v>1560</v>
      </c>
      <c r="N774" s="454">
        <v>510</v>
      </c>
      <c r="O774" s="48" t="s">
        <v>1430</v>
      </c>
      <c r="P774" s="48" t="s">
        <v>376</v>
      </c>
      <c r="Q774" s="48">
        <v>10</v>
      </c>
      <c r="R774" s="320">
        <v>1000</v>
      </c>
      <c r="S774" s="317">
        <f t="shared" si="31"/>
        <v>10000</v>
      </c>
    </row>
    <row r="775" spans="13:19">
      <c r="M775" s="48" t="s">
        <v>1560</v>
      </c>
      <c r="N775" s="454">
        <v>511</v>
      </c>
      <c r="O775" s="48" t="s">
        <v>1552</v>
      </c>
      <c r="P775" s="48" t="s">
        <v>528</v>
      </c>
      <c r="Q775" s="48">
        <v>200</v>
      </c>
      <c r="R775" s="320">
        <v>1000</v>
      </c>
      <c r="S775" s="317">
        <f t="shared" si="31"/>
        <v>200000</v>
      </c>
    </row>
    <row r="776" spans="13:19">
      <c r="M776" s="48" t="s">
        <v>1560</v>
      </c>
      <c r="N776" s="454">
        <v>512</v>
      </c>
      <c r="O776" s="48" t="s">
        <v>632</v>
      </c>
      <c r="P776" s="48" t="s">
        <v>376</v>
      </c>
      <c r="Q776" s="48">
        <v>1</v>
      </c>
      <c r="R776" s="320">
        <v>1000</v>
      </c>
      <c r="S776" s="317">
        <f t="shared" si="31"/>
        <v>1000</v>
      </c>
    </row>
    <row r="777" spans="13:19">
      <c r="M777" s="48" t="s">
        <v>1560</v>
      </c>
      <c r="N777" s="454">
        <v>513</v>
      </c>
      <c r="O777" s="48" t="s">
        <v>1553</v>
      </c>
      <c r="P777" s="48" t="s">
        <v>376</v>
      </c>
      <c r="Q777" s="48">
        <v>5</v>
      </c>
      <c r="R777" s="320">
        <v>1000</v>
      </c>
      <c r="S777" s="317">
        <f t="shared" si="31"/>
        <v>5000</v>
      </c>
    </row>
    <row r="778" spans="13:19">
      <c r="M778" s="48" t="s">
        <v>1560</v>
      </c>
      <c r="N778" s="454">
        <v>514</v>
      </c>
      <c r="O778" s="48" t="s">
        <v>635</v>
      </c>
      <c r="P778" s="48" t="s">
        <v>376</v>
      </c>
      <c r="Q778" s="48">
        <v>3</v>
      </c>
      <c r="R778" s="320">
        <v>1000</v>
      </c>
      <c r="S778" s="317">
        <f t="shared" si="31"/>
        <v>3000</v>
      </c>
    </row>
    <row r="779" spans="13:19">
      <c r="M779" s="48" t="s">
        <v>1560</v>
      </c>
      <c r="N779" s="454">
        <v>515</v>
      </c>
      <c r="O779" s="48" t="s">
        <v>636</v>
      </c>
      <c r="P779" s="48" t="s">
        <v>376</v>
      </c>
      <c r="Q779" s="48">
        <v>4</v>
      </c>
      <c r="R779" s="320">
        <v>1000</v>
      </c>
      <c r="S779" s="317">
        <f t="shared" si="31"/>
        <v>4000</v>
      </c>
    </row>
    <row r="780" spans="13:19">
      <c r="M780" s="48" t="s">
        <v>1560</v>
      </c>
      <c r="N780" s="454">
        <v>516</v>
      </c>
      <c r="O780" s="48" t="s">
        <v>413</v>
      </c>
      <c r="P780" s="48" t="s">
        <v>376</v>
      </c>
      <c r="Q780" s="48">
        <v>2</v>
      </c>
      <c r="R780" s="320">
        <v>1000</v>
      </c>
      <c r="S780" s="317">
        <f t="shared" si="31"/>
        <v>2000</v>
      </c>
    </row>
    <row r="781" spans="13:19">
      <c r="M781" s="48" t="s">
        <v>1560</v>
      </c>
      <c r="N781" s="454">
        <v>517</v>
      </c>
      <c r="O781" s="48" t="s">
        <v>414</v>
      </c>
      <c r="P781" s="48" t="s">
        <v>376</v>
      </c>
      <c r="Q781" s="48">
        <v>2</v>
      </c>
      <c r="R781" s="320">
        <v>1000</v>
      </c>
      <c r="S781" s="317">
        <f t="shared" si="31"/>
        <v>2000</v>
      </c>
    </row>
    <row r="782" spans="13:19">
      <c r="M782" s="48" t="s">
        <v>1560</v>
      </c>
      <c r="N782" s="454">
        <v>518</v>
      </c>
      <c r="O782" s="48" t="s">
        <v>621</v>
      </c>
      <c r="P782" s="48" t="s">
        <v>376</v>
      </c>
      <c r="Q782" s="48">
        <v>2</v>
      </c>
      <c r="R782" s="320">
        <v>1000</v>
      </c>
      <c r="S782" s="317">
        <f t="shared" si="31"/>
        <v>2000</v>
      </c>
    </row>
    <row r="783" spans="13:19">
      <c r="M783" s="48" t="s">
        <v>1560</v>
      </c>
      <c r="N783" s="454">
        <v>519</v>
      </c>
      <c r="O783" s="48" t="s">
        <v>560</v>
      </c>
      <c r="P783" s="48" t="s">
        <v>376</v>
      </c>
      <c r="Q783" s="48">
        <v>15</v>
      </c>
      <c r="R783" s="320">
        <v>1000</v>
      </c>
      <c r="S783" s="317">
        <f t="shared" si="31"/>
        <v>15000</v>
      </c>
    </row>
    <row r="784" spans="13:19">
      <c r="M784" s="48" t="s">
        <v>1560</v>
      </c>
      <c r="N784" s="454">
        <v>520</v>
      </c>
      <c r="O784" s="48" t="s">
        <v>491</v>
      </c>
      <c r="P784" s="48" t="s">
        <v>376</v>
      </c>
      <c r="Q784" s="48">
        <v>200</v>
      </c>
      <c r="R784" s="320">
        <v>1000</v>
      </c>
      <c r="S784" s="317">
        <f t="shared" si="31"/>
        <v>200000</v>
      </c>
    </row>
    <row r="785" spans="13:19">
      <c r="M785" s="48" t="s">
        <v>1560</v>
      </c>
      <c r="N785" s="454">
        <v>521</v>
      </c>
      <c r="O785" s="48" t="s">
        <v>462</v>
      </c>
      <c r="P785" s="48" t="s">
        <v>376</v>
      </c>
      <c r="Q785" s="48">
        <v>1</v>
      </c>
      <c r="R785" s="320">
        <v>1000</v>
      </c>
      <c r="S785" s="317">
        <f t="shared" si="31"/>
        <v>1000</v>
      </c>
    </row>
    <row r="786" spans="13:19">
      <c r="M786" s="48" t="s">
        <v>1560</v>
      </c>
      <c r="N786" s="454">
        <v>522</v>
      </c>
      <c r="O786" s="48" t="s">
        <v>415</v>
      </c>
      <c r="P786" s="48" t="s">
        <v>376</v>
      </c>
      <c r="Q786" s="48">
        <v>5</v>
      </c>
      <c r="R786" s="320">
        <v>1000</v>
      </c>
      <c r="S786" s="317">
        <f t="shared" si="31"/>
        <v>5000</v>
      </c>
    </row>
    <row r="787" spans="13:19">
      <c r="M787" s="48" t="s">
        <v>1560</v>
      </c>
      <c r="N787" s="454">
        <v>523</v>
      </c>
      <c r="O787" s="48" t="s">
        <v>383</v>
      </c>
      <c r="P787" s="48" t="s">
        <v>376</v>
      </c>
      <c r="Q787" s="48">
        <v>50</v>
      </c>
      <c r="R787" s="320">
        <v>1000</v>
      </c>
      <c r="S787" s="317">
        <f t="shared" si="31"/>
        <v>50000</v>
      </c>
    </row>
    <row r="788" spans="13:19">
      <c r="M788" s="48" t="s">
        <v>1560</v>
      </c>
      <c r="N788" s="454">
        <v>524</v>
      </c>
      <c r="O788" s="48" t="s">
        <v>604</v>
      </c>
      <c r="P788" s="48" t="s">
        <v>376</v>
      </c>
      <c r="Q788" s="48">
        <v>50</v>
      </c>
      <c r="R788" s="320">
        <v>1000</v>
      </c>
      <c r="S788" s="317">
        <f t="shared" si="31"/>
        <v>50000</v>
      </c>
    </row>
    <row r="789" spans="13:19">
      <c r="M789" s="48" t="s">
        <v>1560</v>
      </c>
      <c r="N789" s="454">
        <v>525</v>
      </c>
      <c r="O789" s="48" t="s">
        <v>395</v>
      </c>
      <c r="P789" s="48" t="s">
        <v>376</v>
      </c>
      <c r="Q789" s="48">
        <v>20</v>
      </c>
      <c r="R789" s="320">
        <v>1000</v>
      </c>
      <c r="S789" s="317">
        <f t="shared" si="31"/>
        <v>20000</v>
      </c>
    </row>
    <row r="790" spans="13:19">
      <c r="M790" s="48" t="s">
        <v>1560</v>
      </c>
      <c r="N790" s="454">
        <v>526</v>
      </c>
      <c r="O790" s="48" t="s">
        <v>589</v>
      </c>
      <c r="P790" s="48" t="s">
        <v>376</v>
      </c>
      <c r="Q790" s="48">
        <v>50</v>
      </c>
      <c r="R790" s="320">
        <v>1000</v>
      </c>
      <c r="S790" s="317">
        <f t="shared" si="31"/>
        <v>50000</v>
      </c>
    </row>
    <row r="791" spans="13:19">
      <c r="M791" s="48" t="s">
        <v>1560</v>
      </c>
      <c r="N791" s="454">
        <v>527</v>
      </c>
      <c r="O791" s="48" t="s">
        <v>617</v>
      </c>
      <c r="P791" s="48" t="s">
        <v>376</v>
      </c>
      <c r="Q791" s="48">
        <v>50</v>
      </c>
      <c r="R791" s="320">
        <v>1000</v>
      </c>
      <c r="S791" s="317">
        <f t="shared" si="31"/>
        <v>50000</v>
      </c>
    </row>
    <row r="792" spans="13:19">
      <c r="M792" s="48" t="s">
        <v>1560</v>
      </c>
      <c r="N792" s="454">
        <v>528</v>
      </c>
      <c r="O792" s="48" t="s">
        <v>399</v>
      </c>
      <c r="P792" s="48" t="s">
        <v>376</v>
      </c>
      <c r="Q792" s="48">
        <v>4</v>
      </c>
      <c r="R792" s="320">
        <v>1000</v>
      </c>
      <c r="S792" s="317">
        <f t="shared" si="31"/>
        <v>4000</v>
      </c>
    </row>
    <row r="793" spans="13:19">
      <c r="M793" s="48" t="s">
        <v>1560</v>
      </c>
      <c r="N793" s="454">
        <v>529</v>
      </c>
      <c r="O793" s="48" t="s">
        <v>1554</v>
      </c>
      <c r="P793" s="48" t="s">
        <v>376</v>
      </c>
      <c r="Q793" s="48">
        <v>4</v>
      </c>
      <c r="R793" s="320">
        <v>1000</v>
      </c>
      <c r="S793" s="317">
        <f t="shared" si="31"/>
        <v>4000</v>
      </c>
    </row>
    <row r="794" spans="13:19">
      <c r="M794" s="48" t="s">
        <v>1560</v>
      </c>
      <c r="N794" s="454">
        <v>530</v>
      </c>
      <c r="O794" s="48" t="s">
        <v>1118</v>
      </c>
      <c r="P794" s="48" t="s">
        <v>376</v>
      </c>
      <c r="Q794" s="48">
        <v>2</v>
      </c>
      <c r="R794" s="320">
        <v>1000</v>
      </c>
      <c r="S794" s="317">
        <f t="shared" si="31"/>
        <v>2000</v>
      </c>
    </row>
    <row r="795" spans="13:19">
      <c r="M795" s="48" t="s">
        <v>1560</v>
      </c>
      <c r="N795" s="454">
        <v>531</v>
      </c>
      <c r="O795" s="48" t="s">
        <v>1555</v>
      </c>
      <c r="P795" s="48" t="s">
        <v>376</v>
      </c>
      <c r="Q795" s="48">
        <v>2</v>
      </c>
      <c r="R795" s="320">
        <v>1000</v>
      </c>
      <c r="S795" s="317">
        <f t="shared" si="31"/>
        <v>2000</v>
      </c>
    </row>
    <row r="796" spans="13:19">
      <c r="M796" s="48" t="s">
        <v>1560</v>
      </c>
      <c r="N796" s="454">
        <v>532</v>
      </c>
      <c r="O796" s="48" t="s">
        <v>538</v>
      </c>
      <c r="P796" s="48" t="s">
        <v>376</v>
      </c>
      <c r="Q796" s="48">
        <v>20</v>
      </c>
      <c r="R796" s="320">
        <v>1000</v>
      </c>
      <c r="S796" s="317">
        <f t="shared" si="31"/>
        <v>20000</v>
      </c>
    </row>
    <row r="797" spans="13:19">
      <c r="M797" s="48" t="s">
        <v>1560</v>
      </c>
      <c r="N797" s="454">
        <v>533</v>
      </c>
      <c r="O797" s="48" t="s">
        <v>1438</v>
      </c>
      <c r="P797" s="48" t="s">
        <v>376</v>
      </c>
      <c r="Q797" s="48">
        <v>50</v>
      </c>
      <c r="R797" s="320">
        <v>1000</v>
      </c>
      <c r="S797" s="317">
        <f t="shared" si="31"/>
        <v>50000</v>
      </c>
    </row>
    <row r="798" spans="13:19">
      <c r="M798" s="48" t="s">
        <v>1560</v>
      </c>
      <c r="N798" s="454">
        <v>534</v>
      </c>
      <c r="O798" s="48" t="s">
        <v>1439</v>
      </c>
      <c r="P798" s="48" t="s">
        <v>376</v>
      </c>
      <c r="Q798" s="48">
        <v>50</v>
      </c>
      <c r="R798" s="320">
        <v>1000</v>
      </c>
      <c r="S798" s="317">
        <f t="shared" si="31"/>
        <v>50000</v>
      </c>
    </row>
    <row r="799" spans="13:19">
      <c r="M799" s="48" t="s">
        <v>1560</v>
      </c>
      <c r="N799" s="454">
        <v>535</v>
      </c>
      <c r="O799" s="48" t="s">
        <v>614</v>
      </c>
      <c r="P799" s="48" t="s">
        <v>376</v>
      </c>
      <c r="Q799" s="48">
        <v>10</v>
      </c>
      <c r="R799" s="320">
        <v>1000</v>
      </c>
      <c r="S799" s="317">
        <f t="shared" si="31"/>
        <v>10000</v>
      </c>
    </row>
    <row r="800" spans="13:19">
      <c r="M800" s="48" t="s">
        <v>1560</v>
      </c>
      <c r="N800" s="454">
        <v>536</v>
      </c>
      <c r="O800" s="48" t="s">
        <v>464</v>
      </c>
      <c r="P800" s="48" t="s">
        <v>376</v>
      </c>
      <c r="Q800" s="48">
        <v>4</v>
      </c>
      <c r="R800" s="320">
        <v>1000</v>
      </c>
      <c r="S800" s="317">
        <f t="shared" si="31"/>
        <v>4000</v>
      </c>
    </row>
    <row r="801" spans="13:19">
      <c r="M801" s="48" t="s">
        <v>1560</v>
      </c>
      <c r="N801" s="454">
        <v>537</v>
      </c>
      <c r="O801" s="48" t="s">
        <v>1556</v>
      </c>
      <c r="P801" s="48" t="s">
        <v>376</v>
      </c>
      <c r="Q801" s="48">
        <v>2</v>
      </c>
      <c r="R801" s="320">
        <v>1000</v>
      </c>
      <c r="S801" s="317">
        <f t="shared" si="31"/>
        <v>2000</v>
      </c>
    </row>
    <row r="802" spans="13:19">
      <c r="M802" s="48" t="s">
        <v>1560</v>
      </c>
      <c r="N802" s="454">
        <v>538</v>
      </c>
      <c r="O802" s="48" t="s">
        <v>465</v>
      </c>
      <c r="P802" s="48" t="s">
        <v>376</v>
      </c>
      <c r="Q802" s="48">
        <v>2</v>
      </c>
      <c r="R802" s="320">
        <v>1000</v>
      </c>
      <c r="S802" s="317">
        <f t="shared" si="31"/>
        <v>2000</v>
      </c>
    </row>
    <row r="803" spans="13:19">
      <c r="M803" s="48" t="s">
        <v>1560</v>
      </c>
      <c r="N803" s="454">
        <v>539</v>
      </c>
      <c r="O803" s="48" t="s">
        <v>1090</v>
      </c>
      <c r="P803" s="48" t="s">
        <v>376</v>
      </c>
      <c r="Q803" s="48">
        <v>2</v>
      </c>
      <c r="R803" s="320">
        <v>1000</v>
      </c>
      <c r="S803" s="317">
        <f t="shared" si="31"/>
        <v>2000</v>
      </c>
    </row>
    <row r="804" spans="13:19">
      <c r="M804" s="48" t="s">
        <v>1560</v>
      </c>
      <c r="N804" s="454">
        <v>540</v>
      </c>
      <c r="O804" s="48" t="s">
        <v>418</v>
      </c>
      <c r="P804" s="48" t="s">
        <v>376</v>
      </c>
      <c r="Q804" s="48">
        <v>1</v>
      </c>
      <c r="R804" s="320">
        <v>1000</v>
      </c>
      <c r="S804" s="317">
        <f t="shared" si="31"/>
        <v>1000</v>
      </c>
    </row>
    <row r="805" spans="13:19">
      <c r="M805" s="48" t="s">
        <v>1560</v>
      </c>
      <c r="N805" s="454">
        <v>541</v>
      </c>
      <c r="O805" s="48" t="s">
        <v>1557</v>
      </c>
      <c r="R805" s="320">
        <v>1000</v>
      </c>
      <c r="S805" s="317">
        <f t="shared" si="31"/>
        <v>0</v>
      </c>
    </row>
    <row r="806" spans="13:19">
      <c r="M806" s="48" t="s">
        <v>1560</v>
      </c>
      <c r="N806" s="454">
        <v>542</v>
      </c>
      <c r="O806" s="48" t="s">
        <v>1558</v>
      </c>
      <c r="P806" s="48" t="s">
        <v>376</v>
      </c>
      <c r="Q806" s="48">
        <v>1</v>
      </c>
      <c r="R806" s="320">
        <v>1000</v>
      </c>
      <c r="S806" s="317">
        <f t="shared" si="31"/>
        <v>1000</v>
      </c>
    </row>
  </sheetData>
  <autoFilter ref="M6:T27"/>
  <mergeCells count="3">
    <mergeCell ref="P223:Q223"/>
    <mergeCell ref="P194:Q194"/>
    <mergeCell ref="P195:Q195"/>
  </mergeCells>
  <hyperlinks>
    <hyperlink ref="B67" r:id="rId1"/>
  </hyperlinks>
  <pageMargins left="0.7" right="0.7" top="0.75" bottom="0.75" header="0.3" footer="0.3"/>
  <ignoredErrors>
    <ignoredError sqref="D27" formula="1"/>
  </ignoredErrors>
</worksheet>
</file>

<file path=xl/worksheets/sheet15.xml><?xml version="1.0" encoding="utf-8"?>
<worksheet xmlns="http://schemas.openxmlformats.org/spreadsheetml/2006/main" xmlns:r="http://schemas.openxmlformats.org/officeDocument/2006/relationships">
  <dimension ref="B2:N269"/>
  <sheetViews>
    <sheetView topLeftCell="A41" zoomScale="85" zoomScaleNormal="85" workbookViewId="0">
      <selection activeCell="E269" sqref="B66:E269"/>
    </sheetView>
  </sheetViews>
  <sheetFormatPr defaultRowHeight="15"/>
  <cols>
    <col min="2" max="2" width="10.5703125" customWidth="1"/>
    <col min="3" max="16" width="21.42578125" customWidth="1"/>
  </cols>
  <sheetData>
    <row r="2" spans="2:14">
      <c r="B2" s="48" t="s">
        <v>664</v>
      </c>
      <c r="C2" s="48"/>
      <c r="D2" s="48"/>
      <c r="E2" s="48"/>
      <c r="F2" s="48"/>
      <c r="G2" s="48"/>
      <c r="H2" s="48"/>
      <c r="I2" s="51"/>
      <c r="J2" s="51"/>
      <c r="K2" s="48"/>
      <c r="L2" s="48"/>
      <c r="M2" s="48"/>
      <c r="N2" s="48"/>
    </row>
    <row r="3" spans="2:14">
      <c r="B3" s="295"/>
      <c r="C3" s="911" t="s">
        <v>658</v>
      </c>
      <c r="D3" s="911"/>
      <c r="E3" s="911"/>
      <c r="F3" s="911"/>
      <c r="G3" s="48"/>
      <c r="H3" s="911" t="s">
        <v>794</v>
      </c>
      <c r="I3" s="911"/>
      <c r="J3" s="911"/>
      <c r="K3" s="911"/>
      <c r="L3" s="48"/>
      <c r="M3" s="914" t="s">
        <v>750</v>
      </c>
      <c r="N3" s="914" t="s">
        <v>751</v>
      </c>
    </row>
    <row r="4" spans="2:14">
      <c r="B4" s="295"/>
      <c r="C4" s="296" t="s">
        <v>795</v>
      </c>
      <c r="D4" s="296" t="s">
        <v>796</v>
      </c>
      <c r="E4" s="296" t="s">
        <v>797</v>
      </c>
      <c r="F4" s="296" t="s">
        <v>798</v>
      </c>
      <c r="G4" s="48"/>
      <c r="H4" s="297"/>
      <c r="I4" s="318" t="s">
        <v>796</v>
      </c>
      <c r="J4" s="318" t="s">
        <v>799</v>
      </c>
      <c r="K4" s="298" t="s">
        <v>800</v>
      </c>
      <c r="L4" s="48"/>
      <c r="M4" s="914"/>
      <c r="N4" s="914"/>
    </row>
    <row r="5" spans="2:14" ht="27">
      <c r="B5" s="912">
        <v>1</v>
      </c>
      <c r="C5" s="911" t="s">
        <v>801</v>
      </c>
      <c r="D5" s="913" t="s">
        <v>802</v>
      </c>
      <c r="E5" s="299" t="s">
        <v>39</v>
      </c>
      <c r="F5" s="299" t="s">
        <v>659</v>
      </c>
      <c r="G5" s="48"/>
      <c r="H5" s="300">
        <v>1</v>
      </c>
      <c r="I5" s="319" t="s">
        <v>803</v>
      </c>
      <c r="J5" s="319" t="s">
        <v>804</v>
      </c>
      <c r="K5" s="301">
        <v>1</v>
      </c>
      <c r="L5" s="48"/>
      <c r="M5" s="914" t="s">
        <v>752</v>
      </c>
      <c r="N5" s="914" t="s">
        <v>753</v>
      </c>
    </row>
    <row r="6" spans="2:14" ht="27">
      <c r="B6" s="912"/>
      <c r="C6" s="911"/>
      <c r="D6" s="913"/>
      <c r="E6" s="299" t="s">
        <v>805</v>
      </c>
      <c r="F6" s="299" t="s">
        <v>806</v>
      </c>
      <c r="G6" s="48"/>
      <c r="H6" s="300">
        <v>2</v>
      </c>
      <c r="I6" s="319" t="s">
        <v>807</v>
      </c>
      <c r="J6" s="319" t="s">
        <v>804</v>
      </c>
      <c r="K6" s="301">
        <v>1</v>
      </c>
      <c r="L6" s="48"/>
      <c r="M6" s="914"/>
      <c r="N6" s="914"/>
    </row>
    <row r="7" spans="2:14" ht="27">
      <c r="B7" s="302">
        <v>2</v>
      </c>
      <c r="C7" s="911"/>
      <c r="D7" s="299" t="s">
        <v>808</v>
      </c>
      <c r="E7" s="299" t="s">
        <v>805</v>
      </c>
      <c r="F7" s="299" t="s">
        <v>809</v>
      </c>
      <c r="G7" s="48"/>
      <c r="H7" s="300">
        <v>3</v>
      </c>
      <c r="I7" s="319" t="s">
        <v>810</v>
      </c>
      <c r="J7" s="319" t="s">
        <v>804</v>
      </c>
      <c r="K7" s="301">
        <v>1</v>
      </c>
      <c r="L7" s="48"/>
      <c r="M7" s="914" t="s">
        <v>754</v>
      </c>
      <c r="N7" s="914" t="s">
        <v>753</v>
      </c>
    </row>
    <row r="8" spans="2:14" ht="27">
      <c r="B8" s="302">
        <v>3</v>
      </c>
      <c r="C8" s="911"/>
      <c r="D8" s="299" t="s">
        <v>811</v>
      </c>
      <c r="E8" s="299" t="s">
        <v>812</v>
      </c>
      <c r="F8" s="299" t="s">
        <v>813</v>
      </c>
      <c r="G8" s="48"/>
      <c r="H8" s="300">
        <v>4</v>
      </c>
      <c r="I8" s="319" t="s">
        <v>814</v>
      </c>
      <c r="J8" s="319" t="s">
        <v>804</v>
      </c>
      <c r="K8" s="301">
        <v>1</v>
      </c>
      <c r="L8" s="48"/>
      <c r="M8" s="914"/>
      <c r="N8" s="914"/>
    </row>
    <row r="9" spans="2:14">
      <c r="B9" s="302">
        <v>4</v>
      </c>
      <c r="C9" s="911"/>
      <c r="D9" s="299" t="s">
        <v>815</v>
      </c>
      <c r="E9" s="299" t="s">
        <v>812</v>
      </c>
      <c r="F9" s="299" t="s">
        <v>813</v>
      </c>
      <c r="G9" s="48"/>
      <c r="H9" s="300">
        <v>5</v>
      </c>
      <c r="I9" s="319" t="s">
        <v>816</v>
      </c>
      <c r="J9" s="319" t="s">
        <v>817</v>
      </c>
      <c r="K9" s="301">
        <v>1</v>
      </c>
      <c r="L9" s="48"/>
      <c r="M9" s="914" t="s">
        <v>755</v>
      </c>
      <c r="N9" s="914" t="s">
        <v>756</v>
      </c>
    </row>
    <row r="10" spans="2:14" ht="40.5">
      <c r="B10" s="302">
        <v>5</v>
      </c>
      <c r="C10" s="911"/>
      <c r="D10" s="299" t="s">
        <v>818</v>
      </c>
      <c r="E10" s="299" t="s">
        <v>819</v>
      </c>
      <c r="F10" s="299" t="s">
        <v>820</v>
      </c>
      <c r="G10" s="48"/>
      <c r="H10" s="300">
        <v>6</v>
      </c>
      <c r="I10" s="319" t="s">
        <v>821</v>
      </c>
      <c r="J10" s="319" t="s">
        <v>817</v>
      </c>
      <c r="K10" s="301">
        <v>1</v>
      </c>
      <c r="L10" s="48"/>
      <c r="M10" s="914"/>
      <c r="N10" s="914"/>
    </row>
    <row r="11" spans="2:14" ht="40.5">
      <c r="B11" s="302">
        <v>6</v>
      </c>
      <c r="C11" s="911"/>
      <c r="D11" s="299" t="s">
        <v>822</v>
      </c>
      <c r="E11" s="299" t="s">
        <v>823</v>
      </c>
      <c r="F11" s="299" t="s">
        <v>824</v>
      </c>
      <c r="G11" s="48"/>
      <c r="H11" s="300">
        <v>7</v>
      </c>
      <c r="I11" s="319" t="s">
        <v>825</v>
      </c>
      <c r="J11" s="319" t="s">
        <v>817</v>
      </c>
      <c r="K11" s="301">
        <v>1</v>
      </c>
      <c r="L11" s="48"/>
      <c r="M11" s="914" t="s">
        <v>757</v>
      </c>
      <c r="N11" s="292" t="s">
        <v>758</v>
      </c>
    </row>
    <row r="12" spans="2:14" ht="27">
      <c r="B12" s="302">
        <v>7</v>
      </c>
      <c r="C12" s="911"/>
      <c r="D12" s="299" t="s">
        <v>826</v>
      </c>
      <c r="E12" s="299" t="s">
        <v>823</v>
      </c>
      <c r="F12" s="299" t="s">
        <v>827</v>
      </c>
      <c r="G12" s="48"/>
      <c r="H12" s="300">
        <v>8</v>
      </c>
      <c r="I12" s="319" t="s">
        <v>828</v>
      </c>
      <c r="J12" s="319" t="s">
        <v>817</v>
      </c>
      <c r="K12" s="301">
        <v>1</v>
      </c>
      <c r="L12" s="48"/>
      <c r="M12" s="914"/>
      <c r="N12" s="292" t="s">
        <v>759</v>
      </c>
    </row>
    <row r="13" spans="2:14" ht="27">
      <c r="B13" s="302">
        <v>8</v>
      </c>
      <c r="C13" s="911"/>
      <c r="D13" s="299" t="s">
        <v>822</v>
      </c>
      <c r="E13" s="299" t="s">
        <v>823</v>
      </c>
      <c r="F13" s="299" t="s">
        <v>829</v>
      </c>
      <c r="G13" s="48"/>
      <c r="H13" s="300">
        <v>9</v>
      </c>
      <c r="I13" s="319" t="s">
        <v>830</v>
      </c>
      <c r="J13" s="319" t="s">
        <v>817</v>
      </c>
      <c r="K13" s="301">
        <v>1</v>
      </c>
      <c r="L13" s="48"/>
      <c r="M13" s="914"/>
      <c r="N13" s="303"/>
    </row>
    <row r="14" spans="2:14" ht="27">
      <c r="B14" s="912">
        <v>9</v>
      </c>
      <c r="C14" s="911" t="s">
        <v>831</v>
      </c>
      <c r="D14" s="913" t="s">
        <v>832</v>
      </c>
      <c r="E14" s="299" t="s">
        <v>39</v>
      </c>
      <c r="F14" s="299" t="s">
        <v>660</v>
      </c>
      <c r="G14" s="48"/>
      <c r="H14" s="300">
        <v>10</v>
      </c>
      <c r="I14" s="319" t="s">
        <v>833</v>
      </c>
      <c r="J14" s="319" t="s">
        <v>817</v>
      </c>
      <c r="K14" s="301">
        <v>1</v>
      </c>
      <c r="L14" s="48"/>
      <c r="M14" s="48"/>
      <c r="N14" s="48"/>
    </row>
    <row r="15" spans="2:14" ht="40.5">
      <c r="B15" s="912"/>
      <c r="C15" s="911"/>
      <c r="D15" s="913"/>
      <c r="E15" s="299" t="s">
        <v>805</v>
      </c>
      <c r="F15" s="299" t="s">
        <v>834</v>
      </c>
      <c r="G15" s="48"/>
      <c r="H15" s="300">
        <v>11</v>
      </c>
      <c r="I15" s="319" t="s">
        <v>835</v>
      </c>
      <c r="J15" s="319" t="s">
        <v>817</v>
      </c>
      <c r="K15" s="301">
        <v>1</v>
      </c>
      <c r="L15" s="48"/>
      <c r="M15" s="48"/>
      <c r="N15" s="48"/>
    </row>
    <row r="16" spans="2:14">
      <c r="B16" s="302">
        <v>10</v>
      </c>
      <c r="C16" s="911"/>
      <c r="D16" s="299" t="s">
        <v>836</v>
      </c>
      <c r="E16" s="299" t="s">
        <v>805</v>
      </c>
      <c r="F16" s="299" t="s">
        <v>837</v>
      </c>
      <c r="G16" s="48"/>
      <c r="H16" s="300">
        <v>12</v>
      </c>
      <c r="I16" s="319" t="s">
        <v>838</v>
      </c>
      <c r="J16" s="319" t="s">
        <v>817</v>
      </c>
      <c r="K16" s="301">
        <v>1</v>
      </c>
      <c r="L16" s="48"/>
      <c r="M16" s="48"/>
      <c r="N16" s="48"/>
    </row>
    <row r="17" spans="2:14">
      <c r="B17" s="302">
        <v>11</v>
      </c>
      <c r="C17" s="911"/>
      <c r="D17" s="299" t="s">
        <v>839</v>
      </c>
      <c r="E17" s="299" t="s">
        <v>812</v>
      </c>
      <c r="F17" s="299" t="s">
        <v>840</v>
      </c>
      <c r="G17" s="48"/>
      <c r="H17" s="300">
        <v>13</v>
      </c>
      <c r="I17" s="319" t="s">
        <v>841</v>
      </c>
      <c r="J17" s="319" t="s">
        <v>817</v>
      </c>
      <c r="K17" s="301">
        <v>1</v>
      </c>
      <c r="L17" s="48"/>
      <c r="M17" s="48"/>
      <c r="N17" s="48"/>
    </row>
    <row r="18" spans="2:14" ht="27">
      <c r="B18" s="302">
        <v>12</v>
      </c>
      <c r="C18" s="911"/>
      <c r="D18" s="299" t="s">
        <v>842</v>
      </c>
      <c r="E18" s="299" t="s">
        <v>805</v>
      </c>
      <c r="F18" s="299" t="s">
        <v>843</v>
      </c>
      <c r="G18" s="48"/>
      <c r="H18" s="300">
        <v>14</v>
      </c>
      <c r="I18" s="319" t="s">
        <v>844</v>
      </c>
      <c r="J18" s="319" t="s">
        <v>817</v>
      </c>
      <c r="K18" s="301">
        <v>1</v>
      </c>
      <c r="L18" s="48"/>
      <c r="M18" s="48"/>
      <c r="N18" s="48"/>
    </row>
    <row r="19" spans="2:14">
      <c r="B19" s="302">
        <v>13</v>
      </c>
      <c r="C19" s="911"/>
      <c r="D19" s="299" t="s">
        <v>845</v>
      </c>
      <c r="E19" s="299" t="s">
        <v>805</v>
      </c>
      <c r="F19" s="299" t="s">
        <v>813</v>
      </c>
      <c r="G19" s="48"/>
      <c r="H19" s="300">
        <v>15</v>
      </c>
      <c r="I19" s="319" t="s">
        <v>846</v>
      </c>
      <c r="J19" s="319" t="s">
        <v>847</v>
      </c>
      <c r="K19" s="301">
        <v>1</v>
      </c>
      <c r="L19" s="48"/>
      <c r="M19" s="48"/>
      <c r="N19" s="48"/>
    </row>
    <row r="20" spans="2:14" ht="27">
      <c r="B20" s="302">
        <v>14</v>
      </c>
      <c r="C20" s="911" t="s">
        <v>848</v>
      </c>
      <c r="D20" s="299" t="s">
        <v>849</v>
      </c>
      <c r="E20" s="299" t="s">
        <v>805</v>
      </c>
      <c r="F20" s="299" t="s">
        <v>850</v>
      </c>
      <c r="G20" s="48"/>
      <c r="H20" s="300">
        <v>16</v>
      </c>
      <c r="I20" s="319" t="s">
        <v>851</v>
      </c>
      <c r="J20" s="319" t="s">
        <v>847</v>
      </c>
      <c r="K20" s="301">
        <v>2</v>
      </c>
      <c r="L20" s="48"/>
      <c r="M20" s="48"/>
      <c r="N20" s="48"/>
    </row>
    <row r="21" spans="2:14" ht="27">
      <c r="B21" s="912">
        <v>15</v>
      </c>
      <c r="C21" s="911"/>
      <c r="D21" s="913" t="s">
        <v>852</v>
      </c>
      <c r="E21" s="299" t="s">
        <v>39</v>
      </c>
      <c r="F21" s="299" t="s">
        <v>661</v>
      </c>
      <c r="G21" s="48"/>
      <c r="H21" s="300">
        <v>17</v>
      </c>
      <c r="I21" s="319" t="s">
        <v>853</v>
      </c>
      <c r="J21" s="319" t="s">
        <v>847</v>
      </c>
      <c r="K21" s="301">
        <v>1</v>
      </c>
      <c r="L21" s="48"/>
      <c r="M21" s="48"/>
      <c r="N21" s="48"/>
    </row>
    <row r="22" spans="2:14" ht="27">
      <c r="B22" s="912"/>
      <c r="C22" s="911"/>
      <c r="D22" s="913"/>
      <c r="E22" s="299" t="s">
        <v>805</v>
      </c>
      <c r="F22" s="299" t="s">
        <v>854</v>
      </c>
      <c r="G22" s="48"/>
      <c r="H22" s="300">
        <v>18</v>
      </c>
      <c r="I22" s="319" t="s">
        <v>855</v>
      </c>
      <c r="J22" s="319" t="s">
        <v>847</v>
      </c>
      <c r="K22" s="301">
        <v>2</v>
      </c>
      <c r="L22" s="48"/>
      <c r="M22" s="48"/>
      <c r="N22" s="48"/>
    </row>
    <row r="23" spans="2:14">
      <c r="B23" s="302">
        <v>16</v>
      </c>
      <c r="C23" s="911"/>
      <c r="D23" s="299" t="s">
        <v>856</v>
      </c>
      <c r="E23" s="299" t="s">
        <v>823</v>
      </c>
      <c r="F23" s="299" t="s">
        <v>857</v>
      </c>
      <c r="G23" s="48"/>
      <c r="H23" s="300">
        <v>19</v>
      </c>
      <c r="I23" s="319" t="s">
        <v>858</v>
      </c>
      <c r="J23" s="319" t="s">
        <v>847</v>
      </c>
      <c r="K23" s="301">
        <v>1</v>
      </c>
      <c r="L23" s="48"/>
      <c r="M23" s="48"/>
      <c r="N23" s="48"/>
    </row>
    <row r="24" spans="2:14" ht="27">
      <c r="B24" s="302">
        <v>17</v>
      </c>
      <c r="C24" s="304" t="s">
        <v>859</v>
      </c>
      <c r="D24" s="299" t="s">
        <v>860</v>
      </c>
      <c r="E24" s="299" t="s">
        <v>805</v>
      </c>
      <c r="F24" s="299" t="s">
        <v>837</v>
      </c>
      <c r="G24" s="48"/>
      <c r="H24" s="300">
        <v>20</v>
      </c>
      <c r="I24" s="319" t="s">
        <v>861</v>
      </c>
      <c r="J24" s="319" t="s">
        <v>847</v>
      </c>
      <c r="K24" s="301">
        <v>1</v>
      </c>
      <c r="L24" s="48"/>
      <c r="M24" s="48"/>
      <c r="N24" s="48"/>
    </row>
    <row r="25" spans="2:14" ht="27">
      <c r="B25" s="302">
        <v>18</v>
      </c>
      <c r="C25" s="305"/>
      <c r="D25" s="299" t="s">
        <v>862</v>
      </c>
      <c r="E25" s="299" t="s">
        <v>812</v>
      </c>
      <c r="F25" s="299" t="s">
        <v>863</v>
      </c>
      <c r="G25" s="48"/>
      <c r="H25" s="300">
        <v>21</v>
      </c>
      <c r="I25" s="319" t="s">
        <v>864</v>
      </c>
      <c r="J25" s="319" t="s">
        <v>847</v>
      </c>
      <c r="K25" s="301">
        <v>1</v>
      </c>
      <c r="L25" s="48"/>
      <c r="M25" s="48"/>
      <c r="N25" s="48"/>
    </row>
    <row r="26" spans="2:14">
      <c r="B26" s="302">
        <v>19</v>
      </c>
      <c r="C26" s="304" t="s">
        <v>865</v>
      </c>
      <c r="D26" s="299" t="s">
        <v>866</v>
      </c>
      <c r="E26" s="295"/>
      <c r="F26" s="295"/>
      <c r="G26" s="48"/>
      <c r="H26" s="300">
        <v>22</v>
      </c>
      <c r="I26" s="319" t="s">
        <v>867</v>
      </c>
      <c r="J26" s="319" t="s">
        <v>847</v>
      </c>
      <c r="K26" s="301">
        <v>1</v>
      </c>
      <c r="L26" s="48"/>
      <c r="M26" s="48"/>
      <c r="N26" s="48"/>
    </row>
    <row r="27" spans="2:14" ht="27">
      <c r="B27" s="302">
        <v>20</v>
      </c>
      <c r="C27" s="911" t="s">
        <v>868</v>
      </c>
      <c r="D27" s="299" t="s">
        <v>869</v>
      </c>
      <c r="E27" s="299" t="s">
        <v>812</v>
      </c>
      <c r="F27" s="299" t="s">
        <v>870</v>
      </c>
      <c r="G27" s="48"/>
      <c r="H27" s="300">
        <v>23</v>
      </c>
      <c r="I27" s="319" t="s">
        <v>871</v>
      </c>
      <c r="J27" s="319" t="s">
        <v>847</v>
      </c>
      <c r="K27" s="301">
        <v>3</v>
      </c>
      <c r="L27" s="48"/>
      <c r="M27" s="48"/>
      <c r="N27" s="48"/>
    </row>
    <row r="28" spans="2:14">
      <c r="B28" s="302">
        <v>21</v>
      </c>
      <c r="C28" s="911"/>
      <c r="D28" s="299" t="s">
        <v>872</v>
      </c>
      <c r="E28" s="299" t="s">
        <v>812</v>
      </c>
      <c r="F28" s="299" t="s">
        <v>873</v>
      </c>
      <c r="G28" s="48"/>
      <c r="H28" s="300">
        <v>24</v>
      </c>
      <c r="I28" s="319" t="s">
        <v>874</v>
      </c>
      <c r="J28" s="319" t="s">
        <v>847</v>
      </c>
      <c r="K28" s="301">
        <v>1</v>
      </c>
      <c r="L28" s="48"/>
      <c r="M28" s="48"/>
      <c r="N28" s="48"/>
    </row>
    <row r="29" spans="2:14">
      <c r="B29" s="912">
        <v>22</v>
      </c>
      <c r="C29" s="304" t="s">
        <v>662</v>
      </c>
      <c r="D29" s="913" t="s">
        <v>875</v>
      </c>
      <c r="E29" s="913" t="s">
        <v>812</v>
      </c>
      <c r="F29" s="913" t="s">
        <v>876</v>
      </c>
      <c r="G29" s="48"/>
      <c r="H29" s="300">
        <v>25</v>
      </c>
      <c r="I29" s="319" t="s">
        <v>877</v>
      </c>
      <c r="J29" s="319" t="s">
        <v>847</v>
      </c>
      <c r="K29" s="301">
        <v>3</v>
      </c>
      <c r="L29" s="48"/>
      <c r="M29" s="48"/>
      <c r="N29" s="48"/>
    </row>
    <row r="30" spans="2:14" ht="27">
      <c r="B30" s="912"/>
      <c r="C30" s="304" t="s">
        <v>878</v>
      </c>
      <c r="D30" s="913"/>
      <c r="E30" s="913"/>
      <c r="F30" s="913"/>
      <c r="G30" s="48"/>
      <c r="H30" s="300">
        <v>26</v>
      </c>
      <c r="I30" s="319" t="s">
        <v>879</v>
      </c>
      <c r="J30" s="319" t="s">
        <v>880</v>
      </c>
      <c r="K30" s="301">
        <v>1</v>
      </c>
      <c r="L30" s="48"/>
      <c r="M30" s="48"/>
      <c r="N30" s="48"/>
    </row>
    <row r="31" spans="2:14" ht="27">
      <c r="B31" s="302">
        <v>23</v>
      </c>
      <c r="C31" s="293" t="s">
        <v>663</v>
      </c>
      <c r="D31" s="299" t="s">
        <v>881</v>
      </c>
      <c r="E31" s="299" t="s">
        <v>812</v>
      </c>
      <c r="F31" s="299" t="s">
        <v>876</v>
      </c>
      <c r="G31" s="48"/>
      <c r="H31" s="300">
        <v>27</v>
      </c>
      <c r="I31" s="319" t="s">
        <v>882</v>
      </c>
      <c r="J31" s="319" t="s">
        <v>880</v>
      </c>
      <c r="K31" s="301">
        <v>1</v>
      </c>
      <c r="L31" s="48"/>
      <c r="M31" s="48"/>
      <c r="N31" s="48"/>
    </row>
    <row r="32" spans="2:14">
      <c r="B32" s="48"/>
      <c r="C32" s="48"/>
      <c r="D32" s="48"/>
      <c r="E32" s="48"/>
      <c r="F32" s="48"/>
      <c r="G32" s="48"/>
      <c r="H32" s="300">
        <v>28</v>
      </c>
      <c r="I32" s="319" t="s">
        <v>883</v>
      </c>
      <c r="J32" s="319" t="s">
        <v>880</v>
      </c>
      <c r="K32" s="301">
        <v>1</v>
      </c>
      <c r="L32" s="48"/>
      <c r="M32" s="48"/>
      <c r="N32" s="48"/>
    </row>
    <row r="33" spans="2:14">
      <c r="B33" s="48"/>
      <c r="C33" s="48"/>
      <c r="D33" s="48"/>
      <c r="E33" s="48"/>
      <c r="F33" s="48"/>
      <c r="G33" s="48"/>
      <c r="H33" s="300">
        <v>29</v>
      </c>
      <c r="I33" s="319" t="s">
        <v>884</v>
      </c>
      <c r="J33" s="319" t="s">
        <v>880</v>
      </c>
      <c r="K33" s="301">
        <v>1</v>
      </c>
      <c r="L33" s="48"/>
      <c r="M33" s="48"/>
      <c r="N33" s="48"/>
    </row>
    <row r="34" spans="2:14">
      <c r="B34" s="48"/>
      <c r="C34" s="48"/>
      <c r="D34" s="48"/>
      <c r="E34" s="48"/>
      <c r="F34" s="48"/>
      <c r="G34" s="48"/>
      <c r="H34" s="300">
        <v>30</v>
      </c>
      <c r="I34" s="319" t="s">
        <v>885</v>
      </c>
      <c r="J34" s="319" t="s">
        <v>885</v>
      </c>
      <c r="K34" s="301">
        <v>1</v>
      </c>
      <c r="L34" s="48"/>
      <c r="M34" s="48"/>
      <c r="N34" s="48"/>
    </row>
    <row r="35" spans="2:14">
      <c r="B35" s="48"/>
      <c r="C35" s="48"/>
      <c r="D35" s="48"/>
      <c r="E35" s="48"/>
      <c r="F35" s="48"/>
      <c r="G35" s="48"/>
      <c r="H35" s="48"/>
      <c r="I35" s="51"/>
      <c r="J35" s="51"/>
      <c r="K35" s="48"/>
      <c r="L35" s="48"/>
      <c r="M35" s="48"/>
      <c r="N35" s="48"/>
    </row>
    <row r="36" spans="2:14">
      <c r="B36" s="306" t="s">
        <v>127</v>
      </c>
      <c r="C36" s="307" t="s">
        <v>711</v>
      </c>
      <c r="D36" s="308"/>
      <c r="E36" s="309"/>
      <c r="F36" s="310"/>
      <c r="G36" s="310"/>
      <c r="H36" s="48"/>
      <c r="I36" s="51"/>
      <c r="J36" s="51"/>
      <c r="K36" s="48"/>
      <c r="L36" s="48"/>
      <c r="M36" s="48"/>
      <c r="N36" s="48"/>
    </row>
    <row r="37" spans="2:14">
      <c r="B37" s="311">
        <v>17</v>
      </c>
      <c r="C37" s="312" t="s">
        <v>712</v>
      </c>
      <c r="D37" s="308" t="s">
        <v>713</v>
      </c>
      <c r="E37" s="309">
        <v>2</v>
      </c>
      <c r="F37" s="310">
        <v>625200</v>
      </c>
      <c r="G37" s="310">
        <v>1250400</v>
      </c>
      <c r="H37" s="48"/>
      <c r="I37" s="51"/>
      <c r="J37" s="51"/>
      <c r="K37" s="48"/>
      <c r="L37" s="48"/>
      <c r="M37" s="48"/>
      <c r="N37" s="48"/>
    </row>
    <row r="38" spans="2:14">
      <c r="B38" s="311">
        <v>18</v>
      </c>
      <c r="C38" s="312" t="s">
        <v>714</v>
      </c>
      <c r="D38" s="308" t="s">
        <v>715</v>
      </c>
      <c r="E38" s="309">
        <v>2</v>
      </c>
      <c r="F38" s="310">
        <v>752150</v>
      </c>
      <c r="G38" s="310">
        <v>1504300</v>
      </c>
      <c r="H38" s="48"/>
      <c r="I38" s="51"/>
      <c r="J38" s="51"/>
      <c r="K38" s="48"/>
      <c r="L38" s="48"/>
      <c r="M38" s="48"/>
      <c r="N38" s="48"/>
    </row>
    <row r="39" spans="2:14">
      <c r="B39" s="311">
        <v>19</v>
      </c>
      <c r="C39" s="312" t="s">
        <v>716</v>
      </c>
      <c r="D39" s="308" t="s">
        <v>713</v>
      </c>
      <c r="E39" s="309">
        <v>2</v>
      </c>
      <c r="F39" s="310">
        <v>350000</v>
      </c>
      <c r="G39" s="310">
        <v>700000</v>
      </c>
      <c r="H39" s="48"/>
      <c r="I39" s="51"/>
      <c r="J39" s="51"/>
      <c r="K39" s="48"/>
      <c r="L39" s="48"/>
      <c r="M39" s="48"/>
      <c r="N39" s="48"/>
    </row>
    <row r="40" spans="2:14">
      <c r="B40" s="311">
        <v>20</v>
      </c>
      <c r="C40" s="312" t="s">
        <v>717</v>
      </c>
      <c r="D40" s="308" t="s">
        <v>718</v>
      </c>
      <c r="E40" s="309">
        <v>3</v>
      </c>
      <c r="F40" s="310">
        <v>20500</v>
      </c>
      <c r="G40" s="310">
        <v>61500</v>
      </c>
      <c r="H40" s="48"/>
      <c r="I40" s="51"/>
      <c r="J40" s="51"/>
      <c r="K40" s="48"/>
      <c r="L40" s="48"/>
      <c r="M40" s="48"/>
      <c r="N40" s="48"/>
    </row>
    <row r="41" spans="2:14">
      <c r="B41" s="311">
        <v>21</v>
      </c>
      <c r="C41" s="312" t="s">
        <v>719</v>
      </c>
      <c r="D41" s="308" t="s">
        <v>718</v>
      </c>
      <c r="E41" s="309">
        <v>3</v>
      </c>
      <c r="F41" s="310">
        <v>3120</v>
      </c>
      <c r="G41" s="310">
        <v>9360</v>
      </c>
      <c r="H41" s="48"/>
      <c r="I41" s="51"/>
      <c r="J41" s="51"/>
      <c r="K41" s="48"/>
      <c r="L41" s="48"/>
      <c r="M41" s="48"/>
      <c r="N41" s="48"/>
    </row>
    <row r="42" spans="2:14">
      <c r="B42" s="311">
        <v>22</v>
      </c>
      <c r="C42" s="312" t="s">
        <v>720</v>
      </c>
      <c r="D42" s="308" t="s">
        <v>713</v>
      </c>
      <c r="E42" s="309">
        <v>3</v>
      </c>
      <c r="F42" s="310">
        <v>38750</v>
      </c>
      <c r="G42" s="310">
        <v>116250</v>
      </c>
      <c r="H42" s="48"/>
      <c r="I42" s="51"/>
      <c r="J42" s="51"/>
      <c r="K42" s="48"/>
      <c r="L42" s="48"/>
      <c r="M42" s="48"/>
      <c r="N42" s="48"/>
    </row>
    <row r="43" spans="2:14">
      <c r="B43" s="311">
        <v>23</v>
      </c>
      <c r="C43" s="312" t="s">
        <v>721</v>
      </c>
      <c r="D43" s="308" t="s">
        <v>713</v>
      </c>
      <c r="E43" s="309">
        <v>3</v>
      </c>
      <c r="F43" s="310">
        <v>83000</v>
      </c>
      <c r="G43" s="310">
        <v>249000</v>
      </c>
      <c r="H43" s="48"/>
      <c r="I43" s="51"/>
      <c r="J43" s="51"/>
      <c r="K43" s="48"/>
      <c r="L43" s="48"/>
      <c r="M43" s="48"/>
      <c r="N43" s="48"/>
    </row>
    <row r="44" spans="2:14">
      <c r="B44" s="311">
        <v>24</v>
      </c>
      <c r="C44" s="312" t="s">
        <v>722</v>
      </c>
      <c r="D44" s="308" t="s">
        <v>713</v>
      </c>
      <c r="E44" s="309">
        <v>5</v>
      </c>
      <c r="F44" s="310">
        <v>75000</v>
      </c>
      <c r="G44" s="310">
        <v>375000</v>
      </c>
      <c r="H44" s="48"/>
      <c r="I44" s="51"/>
      <c r="J44" s="51"/>
      <c r="K44" s="48"/>
      <c r="L44" s="48"/>
      <c r="M44" s="48"/>
      <c r="N44" s="48"/>
    </row>
    <row r="45" spans="2:14">
      <c r="B45" s="311">
        <v>25</v>
      </c>
      <c r="C45" s="312" t="s">
        <v>723</v>
      </c>
      <c r="D45" s="308" t="s">
        <v>724</v>
      </c>
      <c r="E45" s="309">
        <v>3</v>
      </c>
      <c r="F45" s="310">
        <v>82000</v>
      </c>
      <c r="G45" s="310">
        <v>246000</v>
      </c>
      <c r="H45" s="48"/>
      <c r="I45" s="51"/>
      <c r="J45" s="51"/>
      <c r="K45" s="48"/>
      <c r="L45" s="48"/>
      <c r="M45" s="48"/>
      <c r="N45" s="48"/>
    </row>
    <row r="46" spans="2:14">
      <c r="B46" s="311">
        <v>26</v>
      </c>
      <c r="C46" s="312" t="s">
        <v>725</v>
      </c>
      <c r="D46" s="308" t="s">
        <v>713</v>
      </c>
      <c r="E46" s="309">
        <v>3</v>
      </c>
      <c r="F46" s="310">
        <v>22000</v>
      </c>
      <c r="G46" s="310">
        <v>66000</v>
      </c>
      <c r="H46" s="48"/>
      <c r="I46" s="51"/>
      <c r="J46" s="51"/>
      <c r="K46" s="48"/>
      <c r="L46" s="48"/>
      <c r="M46" s="48"/>
      <c r="N46" s="48"/>
    </row>
    <row r="47" spans="2:14">
      <c r="B47" s="311">
        <v>27</v>
      </c>
      <c r="C47" s="312" t="s">
        <v>726</v>
      </c>
      <c r="D47" s="308" t="s">
        <v>713</v>
      </c>
      <c r="E47" s="309">
        <v>2</v>
      </c>
      <c r="F47" s="310">
        <v>15000</v>
      </c>
      <c r="G47" s="310">
        <v>30000</v>
      </c>
      <c r="H47" s="48"/>
      <c r="I47" s="51"/>
      <c r="J47" s="51"/>
      <c r="K47" s="48"/>
      <c r="L47" s="48"/>
      <c r="M47" s="48"/>
      <c r="N47" s="48"/>
    </row>
    <row r="48" spans="2:14">
      <c r="B48" s="311">
        <v>28</v>
      </c>
      <c r="C48" s="312" t="s">
        <v>727</v>
      </c>
      <c r="D48" s="308" t="s">
        <v>713</v>
      </c>
      <c r="E48" s="309">
        <v>2</v>
      </c>
      <c r="F48" s="310">
        <v>35000</v>
      </c>
      <c r="G48" s="310">
        <v>70000</v>
      </c>
      <c r="H48" s="48"/>
      <c r="I48" s="51"/>
      <c r="J48" s="51"/>
      <c r="K48" s="48"/>
      <c r="L48" s="48"/>
      <c r="M48" s="48"/>
      <c r="N48" s="48"/>
    </row>
    <row r="49" spans="2:14">
      <c r="B49" s="311">
        <v>29</v>
      </c>
      <c r="C49" s="312" t="s">
        <v>728</v>
      </c>
      <c r="D49" s="308" t="s">
        <v>713</v>
      </c>
      <c r="E49" s="309">
        <v>2</v>
      </c>
      <c r="F49" s="310">
        <v>20000</v>
      </c>
      <c r="G49" s="310">
        <v>40000</v>
      </c>
      <c r="H49" s="48"/>
      <c r="I49" s="51"/>
      <c r="J49" s="51"/>
      <c r="K49" s="48"/>
      <c r="L49" s="48"/>
      <c r="M49" s="48"/>
      <c r="N49" s="48"/>
    </row>
    <row r="50" spans="2:14">
      <c r="B50" s="311">
        <v>30</v>
      </c>
      <c r="C50" s="312" t="s">
        <v>729</v>
      </c>
      <c r="D50" s="308" t="s">
        <v>713</v>
      </c>
      <c r="E50" s="309">
        <v>2</v>
      </c>
      <c r="F50" s="310">
        <v>700000</v>
      </c>
      <c r="G50" s="310">
        <v>1400000</v>
      </c>
      <c r="H50" s="48"/>
      <c r="I50" s="51"/>
      <c r="J50" s="51"/>
      <c r="K50" s="48"/>
      <c r="L50" s="48"/>
      <c r="M50" s="48"/>
      <c r="N50" s="48"/>
    </row>
    <row r="51" spans="2:14">
      <c r="B51" s="311">
        <v>31</v>
      </c>
      <c r="C51" s="312" t="s">
        <v>730</v>
      </c>
      <c r="D51" s="308" t="s">
        <v>731</v>
      </c>
      <c r="E51" s="309">
        <v>3</v>
      </c>
      <c r="F51" s="310">
        <v>32200</v>
      </c>
      <c r="G51" s="310">
        <v>96600</v>
      </c>
      <c r="H51" s="48"/>
      <c r="I51" s="51"/>
      <c r="J51" s="51"/>
      <c r="K51" s="48"/>
      <c r="L51" s="48"/>
      <c r="M51" s="48"/>
      <c r="N51" s="48"/>
    </row>
    <row r="52" spans="2:14">
      <c r="B52" s="311">
        <v>32</v>
      </c>
      <c r="C52" s="312" t="s">
        <v>732</v>
      </c>
      <c r="D52" s="308" t="s">
        <v>713</v>
      </c>
      <c r="E52" s="309">
        <v>2</v>
      </c>
      <c r="F52" s="310">
        <v>15100</v>
      </c>
      <c r="G52" s="310">
        <v>30200</v>
      </c>
      <c r="H52" s="48"/>
      <c r="I52" s="51"/>
      <c r="J52" s="51"/>
      <c r="K52" s="48"/>
      <c r="L52" s="48"/>
      <c r="M52" s="48"/>
      <c r="N52" s="48"/>
    </row>
    <row r="53" spans="2:14">
      <c r="B53" s="311">
        <v>33</v>
      </c>
      <c r="C53" s="312" t="s">
        <v>733</v>
      </c>
      <c r="D53" s="308" t="s">
        <v>713</v>
      </c>
      <c r="E53" s="309">
        <v>3</v>
      </c>
      <c r="F53" s="310">
        <v>10900</v>
      </c>
      <c r="G53" s="310">
        <v>32700</v>
      </c>
      <c r="H53" s="48"/>
      <c r="I53" s="51"/>
      <c r="J53" s="51"/>
      <c r="K53" s="48"/>
      <c r="L53" s="48"/>
      <c r="M53" s="48"/>
      <c r="N53" s="48"/>
    </row>
    <row r="54" spans="2:14">
      <c r="B54" s="311">
        <v>34</v>
      </c>
      <c r="C54" s="312" t="s">
        <v>734</v>
      </c>
      <c r="D54" s="308" t="s">
        <v>713</v>
      </c>
      <c r="E54" s="309">
        <v>2</v>
      </c>
      <c r="F54" s="310">
        <v>65000</v>
      </c>
      <c r="G54" s="310">
        <v>130000</v>
      </c>
      <c r="H54" s="48"/>
      <c r="I54" s="51"/>
      <c r="J54" s="51"/>
      <c r="K54" s="48"/>
      <c r="L54" s="48"/>
      <c r="M54" s="48"/>
      <c r="N54" s="48"/>
    </row>
    <row r="55" spans="2:14">
      <c r="B55" s="311">
        <v>35</v>
      </c>
      <c r="C55" s="312" t="s">
        <v>735</v>
      </c>
      <c r="D55" s="308" t="s">
        <v>713</v>
      </c>
      <c r="E55" s="309">
        <v>2</v>
      </c>
      <c r="F55" s="310">
        <v>50000</v>
      </c>
      <c r="G55" s="310">
        <v>100000</v>
      </c>
      <c r="H55" s="48"/>
      <c r="I55" s="51"/>
      <c r="J55" s="51"/>
      <c r="K55" s="48"/>
      <c r="L55" s="48"/>
      <c r="M55" s="48"/>
      <c r="N55" s="48"/>
    </row>
    <row r="56" spans="2:14">
      <c r="B56" s="311">
        <v>36</v>
      </c>
      <c r="C56" s="312" t="s">
        <v>736</v>
      </c>
      <c r="D56" s="308" t="s">
        <v>713</v>
      </c>
      <c r="E56" s="309">
        <v>2</v>
      </c>
      <c r="F56" s="310">
        <v>40000</v>
      </c>
      <c r="G56" s="310">
        <v>80000</v>
      </c>
      <c r="H56" s="48"/>
      <c r="I56" s="51"/>
      <c r="J56" s="51"/>
      <c r="K56" s="48"/>
      <c r="L56" s="48"/>
      <c r="M56" s="48"/>
      <c r="N56" s="48"/>
    </row>
    <row r="57" spans="2:14">
      <c r="B57" s="311">
        <v>37</v>
      </c>
      <c r="C57" s="312" t="s">
        <v>737</v>
      </c>
      <c r="D57" s="308" t="s">
        <v>713</v>
      </c>
      <c r="E57" s="309">
        <v>3</v>
      </c>
      <c r="F57" s="310">
        <v>78750</v>
      </c>
      <c r="G57" s="310">
        <v>236250</v>
      </c>
      <c r="H57" s="48"/>
      <c r="I57" s="51"/>
      <c r="J57" s="51"/>
      <c r="K57" s="48"/>
      <c r="L57" s="48"/>
      <c r="M57" s="48"/>
      <c r="N57" s="48"/>
    </row>
    <row r="58" spans="2:14">
      <c r="B58" s="311">
        <v>38</v>
      </c>
      <c r="C58" s="312" t="s">
        <v>738</v>
      </c>
      <c r="D58" s="308" t="s">
        <v>713</v>
      </c>
      <c r="E58" s="309">
        <v>2</v>
      </c>
      <c r="F58" s="310">
        <v>43750</v>
      </c>
      <c r="G58" s="310">
        <v>87500</v>
      </c>
      <c r="H58" s="48"/>
      <c r="I58" s="51"/>
      <c r="J58" s="51"/>
      <c r="K58" s="48"/>
      <c r="L58" s="48"/>
      <c r="M58" s="48"/>
      <c r="N58" s="48"/>
    </row>
    <row r="59" spans="2:14">
      <c r="B59" s="311">
        <v>39</v>
      </c>
      <c r="C59" s="312" t="s">
        <v>739</v>
      </c>
      <c r="D59" s="308" t="s">
        <v>740</v>
      </c>
      <c r="E59" s="309">
        <v>2</v>
      </c>
      <c r="F59" s="310">
        <v>49720</v>
      </c>
      <c r="G59" s="310">
        <v>99440</v>
      </c>
      <c r="H59" s="48"/>
      <c r="I59" s="51"/>
      <c r="J59" s="51"/>
      <c r="K59" s="48"/>
      <c r="L59" s="48"/>
      <c r="M59" s="48"/>
      <c r="N59" s="48"/>
    </row>
    <row r="60" spans="2:14">
      <c r="B60" s="311">
        <v>40</v>
      </c>
      <c r="C60" s="312" t="s">
        <v>741</v>
      </c>
      <c r="D60" s="308" t="s">
        <v>713</v>
      </c>
      <c r="E60" s="309">
        <v>3</v>
      </c>
      <c r="F60" s="310">
        <v>5886</v>
      </c>
      <c r="G60" s="310">
        <v>17658</v>
      </c>
      <c r="H60" s="48"/>
      <c r="I60" s="51"/>
      <c r="J60" s="51"/>
      <c r="K60" s="48"/>
      <c r="L60" s="48"/>
      <c r="M60" s="48"/>
      <c r="N60" s="48"/>
    </row>
    <row r="61" spans="2:14">
      <c r="B61" s="311">
        <v>41</v>
      </c>
      <c r="C61" s="312" t="s">
        <v>742</v>
      </c>
      <c r="D61" s="308" t="s">
        <v>713</v>
      </c>
      <c r="E61" s="309">
        <v>3</v>
      </c>
      <c r="F61" s="310">
        <v>1250</v>
      </c>
      <c r="G61" s="310">
        <v>3750</v>
      </c>
      <c r="H61" s="48"/>
      <c r="I61" s="51"/>
      <c r="J61" s="51"/>
      <c r="K61" s="48"/>
      <c r="L61" s="48"/>
      <c r="M61" s="48"/>
      <c r="N61" s="48"/>
    </row>
    <row r="62" spans="2:14">
      <c r="B62" s="48"/>
      <c r="C62" s="48"/>
      <c r="D62" s="48"/>
      <c r="E62" s="48"/>
      <c r="F62" s="48"/>
      <c r="G62" s="48"/>
      <c r="H62" s="48"/>
      <c r="I62" s="51"/>
      <c r="J62" s="51"/>
      <c r="K62" s="48"/>
      <c r="L62" s="48"/>
      <c r="M62" s="48"/>
      <c r="N62" s="48"/>
    </row>
    <row r="66" spans="2:5" ht="15.75" thickBot="1">
      <c r="B66" t="s">
        <v>1201</v>
      </c>
    </row>
    <row r="67" spans="2:5" ht="16.5" thickBot="1">
      <c r="B67" s="473" t="s">
        <v>1125</v>
      </c>
      <c r="C67" s="474" t="s">
        <v>1126</v>
      </c>
      <c r="D67" s="474" t="s">
        <v>1127</v>
      </c>
      <c r="E67" s="474" t="s">
        <v>1128</v>
      </c>
    </row>
    <row r="68" spans="2:5" ht="16.5" thickBot="1">
      <c r="B68" s="475" t="s">
        <v>1129</v>
      </c>
      <c r="C68" s="476" t="s">
        <v>1085</v>
      </c>
      <c r="D68" s="477" t="s">
        <v>564</v>
      </c>
      <c r="E68" s="477">
        <v>1</v>
      </c>
    </row>
    <row r="69" spans="2:5" ht="16.5" thickBot="1">
      <c r="B69" s="475" t="s">
        <v>1130</v>
      </c>
      <c r="C69" s="476" t="s">
        <v>1131</v>
      </c>
      <c r="D69" s="477" t="s">
        <v>1132</v>
      </c>
      <c r="E69" s="477">
        <v>1</v>
      </c>
    </row>
    <row r="70" spans="2:5" ht="16.5" thickBot="1">
      <c r="B70" s="475" t="s">
        <v>1133</v>
      </c>
      <c r="C70" s="476" t="s">
        <v>1134</v>
      </c>
      <c r="D70" s="477" t="s">
        <v>1132</v>
      </c>
      <c r="E70" s="477">
        <v>1</v>
      </c>
    </row>
    <row r="71" spans="2:5" ht="16.5" thickBot="1">
      <c r="B71" s="475" t="s">
        <v>1135</v>
      </c>
      <c r="C71" s="476" t="s">
        <v>1136</v>
      </c>
      <c r="D71" s="477" t="s">
        <v>1132</v>
      </c>
      <c r="E71" s="477">
        <v>1</v>
      </c>
    </row>
    <row r="72" spans="2:5" ht="16.5" thickBot="1">
      <c r="B72" s="475" t="s">
        <v>1137</v>
      </c>
      <c r="C72" s="476" t="s">
        <v>1138</v>
      </c>
      <c r="D72" s="477" t="s">
        <v>1132</v>
      </c>
      <c r="E72" s="477">
        <v>1</v>
      </c>
    </row>
    <row r="73" spans="2:5" ht="16.5" thickBot="1">
      <c r="B73" s="475" t="s">
        <v>1139</v>
      </c>
      <c r="C73" s="476" t="s">
        <v>1140</v>
      </c>
      <c r="D73" s="477" t="s">
        <v>1132</v>
      </c>
      <c r="E73" s="477">
        <v>1</v>
      </c>
    </row>
    <row r="74" spans="2:5" ht="32.25" thickBot="1">
      <c r="B74" s="475" t="s">
        <v>1141</v>
      </c>
      <c r="C74" s="476" t="s">
        <v>1142</v>
      </c>
      <c r="D74" s="477" t="s">
        <v>1132</v>
      </c>
      <c r="E74" s="477">
        <v>1</v>
      </c>
    </row>
    <row r="75" spans="2:5" ht="32.25" thickBot="1">
      <c r="B75" s="475" t="s">
        <v>1143</v>
      </c>
      <c r="C75" s="476" t="s">
        <v>1144</v>
      </c>
      <c r="D75" s="477" t="s">
        <v>1132</v>
      </c>
      <c r="E75" s="477">
        <v>2</v>
      </c>
    </row>
    <row r="76" spans="2:5" ht="32.25" thickBot="1">
      <c r="B76" s="475" t="s">
        <v>1145</v>
      </c>
      <c r="C76" s="476" t="s">
        <v>1146</v>
      </c>
      <c r="D76" s="477" t="s">
        <v>1132</v>
      </c>
      <c r="E76" s="477">
        <v>3</v>
      </c>
    </row>
    <row r="77" spans="2:5" ht="16.5" thickBot="1">
      <c r="B77" s="475" t="s">
        <v>1147</v>
      </c>
      <c r="C77" s="476" t="s">
        <v>1148</v>
      </c>
      <c r="D77" s="477" t="s">
        <v>564</v>
      </c>
      <c r="E77" s="477">
        <v>1</v>
      </c>
    </row>
    <row r="78" spans="2:5" ht="32.25" thickBot="1">
      <c r="B78" s="475" t="s">
        <v>1149</v>
      </c>
      <c r="C78" s="476" t="s">
        <v>1150</v>
      </c>
      <c r="D78" s="477" t="s">
        <v>1132</v>
      </c>
      <c r="E78" s="477">
        <v>1</v>
      </c>
    </row>
    <row r="79" spans="2:5" ht="16.5" thickBot="1">
      <c r="B79" s="475" t="s">
        <v>1151</v>
      </c>
      <c r="C79" s="476" t="s">
        <v>1152</v>
      </c>
      <c r="D79" s="477" t="s">
        <v>1153</v>
      </c>
      <c r="E79" s="477">
        <v>1</v>
      </c>
    </row>
    <row r="80" spans="2:5" ht="16.5" thickBot="1">
      <c r="B80" s="475" t="s">
        <v>1154</v>
      </c>
      <c r="C80" s="476" t="s">
        <v>1155</v>
      </c>
      <c r="D80" s="477" t="s">
        <v>1132</v>
      </c>
      <c r="E80" s="477">
        <v>2</v>
      </c>
    </row>
    <row r="81" spans="2:5" ht="16.5" thickBot="1">
      <c r="B81" s="475" t="s">
        <v>1156</v>
      </c>
      <c r="C81" s="476" t="s">
        <v>1157</v>
      </c>
      <c r="D81" s="477" t="s">
        <v>1132</v>
      </c>
      <c r="E81" s="477">
        <v>1</v>
      </c>
    </row>
    <row r="82" spans="2:5" ht="16.5" thickBot="1">
      <c r="B82" s="475" t="s">
        <v>1158</v>
      </c>
      <c r="C82" s="476" t="s">
        <v>1159</v>
      </c>
      <c r="D82" s="477" t="s">
        <v>1132</v>
      </c>
      <c r="E82" s="477">
        <v>2</v>
      </c>
    </row>
    <row r="83" spans="2:5" ht="16.5" thickBot="1">
      <c r="B83" s="475" t="s">
        <v>1160</v>
      </c>
      <c r="C83" s="476" t="s">
        <v>1161</v>
      </c>
      <c r="D83" s="477" t="s">
        <v>1132</v>
      </c>
      <c r="E83" s="477">
        <v>1</v>
      </c>
    </row>
    <row r="84" spans="2:5" ht="16.5" thickBot="1">
      <c r="B84" s="475" t="s">
        <v>1162</v>
      </c>
      <c r="C84" s="476" t="s">
        <v>1163</v>
      </c>
      <c r="D84" s="477" t="s">
        <v>1132</v>
      </c>
      <c r="E84" s="477">
        <v>2</v>
      </c>
    </row>
    <row r="85" spans="2:5" ht="16.5" thickBot="1">
      <c r="B85" s="475" t="s">
        <v>1164</v>
      </c>
      <c r="C85" s="476" t="s">
        <v>1165</v>
      </c>
      <c r="D85" s="477" t="s">
        <v>1132</v>
      </c>
      <c r="E85" s="477">
        <v>1</v>
      </c>
    </row>
    <row r="86" spans="2:5" ht="32.25" thickBot="1">
      <c r="B86" s="475" t="s">
        <v>1166</v>
      </c>
      <c r="C86" s="476" t="s">
        <v>1167</v>
      </c>
      <c r="D86" s="477" t="s">
        <v>1132</v>
      </c>
      <c r="E86" s="477">
        <v>2</v>
      </c>
    </row>
    <row r="87" spans="2:5" ht="32.25" thickBot="1">
      <c r="B87" s="475" t="s">
        <v>1168</v>
      </c>
      <c r="C87" s="476" t="s">
        <v>1169</v>
      </c>
      <c r="D87" s="477" t="s">
        <v>1132</v>
      </c>
      <c r="E87" s="477">
        <v>1</v>
      </c>
    </row>
    <row r="88" spans="2:5" ht="32.25" thickBot="1">
      <c r="B88" s="475" t="s">
        <v>1170</v>
      </c>
      <c r="C88" s="476" t="s">
        <v>1171</v>
      </c>
      <c r="D88" s="477" t="s">
        <v>1038</v>
      </c>
      <c r="E88" s="477">
        <v>2</v>
      </c>
    </row>
    <row r="89" spans="2:5" ht="16.5" thickBot="1">
      <c r="B89" s="475" t="s">
        <v>1172</v>
      </c>
      <c r="C89" s="476" t="s">
        <v>1173</v>
      </c>
      <c r="D89" s="477" t="s">
        <v>564</v>
      </c>
      <c r="E89" s="477">
        <v>1</v>
      </c>
    </row>
    <row r="90" spans="2:5" ht="16.5" thickBot="1">
      <c r="B90" s="475" t="s">
        <v>1174</v>
      </c>
      <c r="C90" s="476" t="s">
        <v>1175</v>
      </c>
      <c r="D90" s="477" t="s">
        <v>1132</v>
      </c>
      <c r="E90" s="477">
        <v>1</v>
      </c>
    </row>
    <row r="91" spans="2:5" ht="16.5" thickBot="1">
      <c r="B91" s="475" t="s">
        <v>1176</v>
      </c>
      <c r="C91" s="476" t="s">
        <v>1177</v>
      </c>
      <c r="D91" s="477" t="s">
        <v>1132</v>
      </c>
      <c r="E91" s="477">
        <v>2</v>
      </c>
    </row>
    <row r="92" spans="2:5" ht="16.5" thickBot="1">
      <c r="B92" s="915" t="s">
        <v>1178</v>
      </c>
      <c r="C92" s="916"/>
      <c r="D92" s="916"/>
      <c r="E92" s="917"/>
    </row>
    <row r="93" spans="2:5" ht="32.25" thickBot="1">
      <c r="B93" s="475" t="s">
        <v>1179</v>
      </c>
      <c r="C93" s="476" t="s">
        <v>1180</v>
      </c>
      <c r="D93" s="476" t="s">
        <v>564</v>
      </c>
      <c r="E93" s="476">
        <v>2</v>
      </c>
    </row>
    <row r="94" spans="2:5" ht="16.5" thickBot="1">
      <c r="B94" s="475" t="s">
        <v>1181</v>
      </c>
      <c r="C94" s="476" t="s">
        <v>1182</v>
      </c>
      <c r="D94" s="476" t="s">
        <v>1038</v>
      </c>
      <c r="E94" s="476">
        <v>1</v>
      </c>
    </row>
    <row r="95" spans="2:5" ht="32.25" thickBot="1">
      <c r="B95" s="475" t="s">
        <v>1183</v>
      </c>
      <c r="C95" s="476" t="s">
        <v>1184</v>
      </c>
      <c r="D95" s="476" t="s">
        <v>564</v>
      </c>
      <c r="E95" s="476">
        <v>1</v>
      </c>
    </row>
    <row r="96" spans="2:5" ht="16.5" thickBot="1">
      <c r="B96" s="475" t="s">
        <v>1185</v>
      </c>
      <c r="C96" s="476" t="s">
        <v>1186</v>
      </c>
      <c r="D96" s="476" t="s">
        <v>1132</v>
      </c>
      <c r="E96" s="476">
        <v>1</v>
      </c>
    </row>
    <row r="97" spans="2:6" ht="16.5" thickBot="1">
      <c r="B97" s="475" t="s">
        <v>1187</v>
      </c>
      <c r="C97" s="476" t="s">
        <v>1188</v>
      </c>
      <c r="D97" s="476" t="s">
        <v>1038</v>
      </c>
      <c r="E97" s="476">
        <v>1</v>
      </c>
    </row>
    <row r="98" spans="2:6" ht="16.5" thickBot="1">
      <c r="B98" s="475" t="s">
        <v>1189</v>
      </c>
      <c r="C98" s="476" t="s">
        <v>1190</v>
      </c>
      <c r="D98" s="476" t="s">
        <v>564</v>
      </c>
      <c r="E98" s="476">
        <v>1</v>
      </c>
    </row>
    <row r="99" spans="2:6" ht="16.5" thickBot="1">
      <c r="B99" s="475" t="s">
        <v>1191</v>
      </c>
      <c r="C99" s="476" t="s">
        <v>1192</v>
      </c>
      <c r="D99" s="476" t="s">
        <v>1193</v>
      </c>
      <c r="E99" s="476">
        <v>1</v>
      </c>
    </row>
    <row r="100" spans="2:6" ht="16.5" thickBot="1">
      <c r="B100" s="475" t="s">
        <v>1194</v>
      </c>
      <c r="C100" s="476" t="s">
        <v>1195</v>
      </c>
      <c r="D100" s="476" t="s">
        <v>1132</v>
      </c>
      <c r="E100" s="476">
        <v>1</v>
      </c>
    </row>
    <row r="101" spans="2:6" ht="32.25" thickBot="1">
      <c r="B101" s="478" t="s">
        <v>1196</v>
      </c>
      <c r="C101" s="479" t="s">
        <v>1197</v>
      </c>
      <c r="D101" s="480" t="s">
        <v>1132</v>
      </c>
      <c r="E101" s="480">
        <v>1</v>
      </c>
    </row>
    <row r="102" spans="2:6" ht="32.25" thickBot="1">
      <c r="B102" s="478" t="s">
        <v>1198</v>
      </c>
      <c r="C102" s="479" t="s">
        <v>1199</v>
      </c>
      <c r="D102" s="480" t="s">
        <v>1132</v>
      </c>
      <c r="E102" s="480">
        <v>1</v>
      </c>
    </row>
    <row r="103" spans="2:6" ht="16.5" thickBot="1">
      <c r="B103" s="478" t="s">
        <v>1200</v>
      </c>
      <c r="C103" s="479" t="s">
        <v>613</v>
      </c>
      <c r="D103" s="480" t="s">
        <v>1132</v>
      </c>
      <c r="E103" s="480">
        <v>1</v>
      </c>
    </row>
    <row r="104" spans="2:6" ht="15.75" thickBot="1">
      <c r="B104" t="s">
        <v>1202</v>
      </c>
    </row>
    <row r="105" spans="2:6" ht="16.5" thickBot="1">
      <c r="B105" s="473" t="s">
        <v>1125</v>
      </c>
      <c r="C105" s="474" t="s">
        <v>1126</v>
      </c>
      <c r="D105" s="474" t="s">
        <v>1127</v>
      </c>
      <c r="E105" s="474" t="s">
        <v>1128</v>
      </c>
      <c r="F105" s="481"/>
    </row>
    <row r="106" spans="2:6" ht="16.5" thickBot="1">
      <c r="B106" s="475" t="s">
        <v>1129</v>
      </c>
      <c r="C106" s="476" t="s">
        <v>1203</v>
      </c>
      <c r="D106" s="476"/>
      <c r="E106" s="476"/>
      <c r="F106" s="481"/>
    </row>
    <row r="107" spans="2:6" ht="16.5" thickBot="1">
      <c r="B107" s="475" t="s">
        <v>1130</v>
      </c>
      <c r="C107" s="476" t="s">
        <v>1204</v>
      </c>
      <c r="D107" s="476" t="s">
        <v>564</v>
      </c>
      <c r="E107" s="476">
        <v>1</v>
      </c>
      <c r="F107" s="481"/>
    </row>
    <row r="108" spans="2:6" ht="16.5" thickBot="1">
      <c r="B108" s="475" t="s">
        <v>1133</v>
      </c>
      <c r="C108" s="476" t="s">
        <v>1205</v>
      </c>
      <c r="D108" s="476" t="s">
        <v>1132</v>
      </c>
      <c r="E108" s="476">
        <v>1</v>
      </c>
      <c r="F108" s="481"/>
    </row>
    <row r="109" spans="2:6" ht="32.25" thickBot="1">
      <c r="B109" s="475" t="s">
        <v>1135</v>
      </c>
      <c r="C109" s="476" t="s">
        <v>1206</v>
      </c>
      <c r="D109" s="476" t="s">
        <v>1132</v>
      </c>
      <c r="E109" s="476">
        <v>1</v>
      </c>
      <c r="F109" s="481"/>
    </row>
    <row r="110" spans="2:6" ht="16.5" thickBot="1">
      <c r="B110" s="475" t="s">
        <v>1137</v>
      </c>
      <c r="C110" s="476" t="s">
        <v>405</v>
      </c>
      <c r="D110" s="476" t="s">
        <v>1038</v>
      </c>
      <c r="E110" s="476">
        <v>1</v>
      </c>
      <c r="F110" s="481"/>
    </row>
    <row r="111" spans="2:6" ht="32.25" thickBot="1">
      <c r="B111" s="475" t="s">
        <v>1139</v>
      </c>
      <c r="C111" s="476" t="s">
        <v>1207</v>
      </c>
      <c r="D111" s="476" t="s">
        <v>1132</v>
      </c>
      <c r="E111" s="476">
        <v>2</v>
      </c>
      <c r="F111" s="481"/>
    </row>
    <row r="112" spans="2:6" ht="16.5" thickBot="1">
      <c r="B112" s="475" t="s">
        <v>1141</v>
      </c>
      <c r="C112" s="476" t="s">
        <v>1208</v>
      </c>
      <c r="D112" s="476" t="s">
        <v>564</v>
      </c>
      <c r="E112" s="476">
        <v>1</v>
      </c>
      <c r="F112" s="481"/>
    </row>
    <row r="113" spans="2:6" ht="16.5" thickBot="1">
      <c r="B113" s="475" t="s">
        <v>1143</v>
      </c>
      <c r="C113" s="476" t="s">
        <v>1209</v>
      </c>
      <c r="D113" s="476" t="s">
        <v>1132</v>
      </c>
      <c r="E113" s="476">
        <v>1</v>
      </c>
      <c r="F113" s="481"/>
    </row>
    <row r="114" spans="2:6" ht="16.5" thickBot="1">
      <c r="B114" s="475" t="s">
        <v>1145</v>
      </c>
      <c r="C114" s="476" t="s">
        <v>1210</v>
      </c>
      <c r="D114" s="476" t="s">
        <v>1038</v>
      </c>
      <c r="E114" s="476">
        <v>2</v>
      </c>
      <c r="F114" s="481"/>
    </row>
    <row r="115" spans="2:6" ht="16.5" thickBot="1">
      <c r="B115" s="475" t="s">
        <v>1147</v>
      </c>
      <c r="C115" s="476" t="s">
        <v>1211</v>
      </c>
      <c r="D115" s="476" t="s">
        <v>564</v>
      </c>
      <c r="E115" s="476">
        <v>2</v>
      </c>
      <c r="F115" s="481"/>
    </row>
    <row r="116" spans="2:6" ht="16.5" thickBot="1">
      <c r="B116" s="475" t="s">
        <v>1149</v>
      </c>
      <c r="C116" s="476" t="s">
        <v>1212</v>
      </c>
      <c r="D116" s="476" t="s">
        <v>622</v>
      </c>
      <c r="E116" s="476">
        <v>3</v>
      </c>
      <c r="F116" s="481"/>
    </row>
    <row r="117" spans="2:6" ht="32.25" thickBot="1">
      <c r="B117" s="475" t="s">
        <v>1151</v>
      </c>
      <c r="C117" s="476" t="s">
        <v>1142</v>
      </c>
      <c r="D117" s="476" t="s">
        <v>622</v>
      </c>
      <c r="E117" s="476">
        <v>3</v>
      </c>
      <c r="F117" s="481"/>
    </row>
    <row r="118" spans="2:6" ht="32.25" thickBot="1">
      <c r="B118" s="475" t="s">
        <v>1154</v>
      </c>
      <c r="C118" s="476" t="s">
        <v>1144</v>
      </c>
      <c r="D118" s="476" t="s">
        <v>622</v>
      </c>
      <c r="E118" s="476">
        <v>3</v>
      </c>
      <c r="F118" s="481"/>
    </row>
    <row r="119" spans="2:6" ht="32.25" thickBot="1">
      <c r="B119" s="475" t="s">
        <v>1156</v>
      </c>
      <c r="C119" s="476" t="s">
        <v>1146</v>
      </c>
      <c r="D119" s="476" t="s">
        <v>622</v>
      </c>
      <c r="E119" s="476">
        <v>3</v>
      </c>
      <c r="F119" s="481"/>
    </row>
    <row r="120" spans="2:6" ht="16.5" thickBot="1">
      <c r="B120" s="475" t="s">
        <v>1158</v>
      </c>
      <c r="C120" s="476" t="s">
        <v>1213</v>
      </c>
      <c r="D120" s="476" t="s">
        <v>1038</v>
      </c>
      <c r="E120" s="476">
        <v>1</v>
      </c>
      <c r="F120" s="481"/>
    </row>
    <row r="121" spans="2:6" ht="16.5" thickBot="1">
      <c r="B121" s="475" t="s">
        <v>1160</v>
      </c>
      <c r="C121" s="476" t="s">
        <v>1214</v>
      </c>
      <c r="D121" s="476" t="s">
        <v>564</v>
      </c>
      <c r="E121" s="476">
        <v>1</v>
      </c>
      <c r="F121" s="481"/>
    </row>
    <row r="122" spans="2:6" ht="32.25" thickBot="1">
      <c r="B122" s="475" t="s">
        <v>1162</v>
      </c>
      <c r="C122" s="476" t="s">
        <v>1215</v>
      </c>
      <c r="D122" s="476" t="s">
        <v>1132</v>
      </c>
      <c r="E122" s="476">
        <v>1</v>
      </c>
      <c r="F122" s="481"/>
    </row>
    <row r="123" spans="2:6" ht="16.5" thickBot="1">
      <c r="B123" s="475" t="s">
        <v>1164</v>
      </c>
      <c r="C123" s="476" t="s">
        <v>1216</v>
      </c>
      <c r="D123" s="476" t="s">
        <v>1132</v>
      </c>
      <c r="E123" s="476"/>
      <c r="F123" s="481"/>
    </row>
    <row r="124" spans="2:6" ht="16.5" thickBot="1">
      <c r="B124" s="475" t="s">
        <v>1166</v>
      </c>
      <c r="C124" s="476" t="s">
        <v>1163</v>
      </c>
      <c r="D124" s="476" t="s">
        <v>1132</v>
      </c>
      <c r="E124" s="476"/>
      <c r="F124" s="481"/>
    </row>
    <row r="125" spans="2:6" ht="16.5" thickBot="1">
      <c r="B125" s="475" t="s">
        <v>1168</v>
      </c>
      <c r="C125" s="476" t="s">
        <v>1217</v>
      </c>
      <c r="D125" s="476" t="s">
        <v>1132</v>
      </c>
      <c r="E125" s="476">
        <v>3</v>
      </c>
      <c r="F125" s="481"/>
    </row>
    <row r="126" spans="2:6" ht="32.25" thickBot="1">
      <c r="B126" s="475" t="s">
        <v>1170</v>
      </c>
      <c r="C126" s="476" t="s">
        <v>1218</v>
      </c>
      <c r="D126" s="476" t="s">
        <v>1132</v>
      </c>
      <c r="E126" s="476">
        <v>4</v>
      </c>
      <c r="F126" s="481"/>
    </row>
    <row r="127" spans="2:6" ht="16.5" thickBot="1">
      <c r="B127" s="475" t="s">
        <v>1172</v>
      </c>
      <c r="C127" s="476" t="s">
        <v>1219</v>
      </c>
      <c r="D127" s="476" t="s">
        <v>1132</v>
      </c>
      <c r="E127" s="476">
        <v>3</v>
      </c>
      <c r="F127" s="481"/>
    </row>
    <row r="128" spans="2:6" ht="16.5" thickBot="1">
      <c r="B128" s="475" t="s">
        <v>1174</v>
      </c>
      <c r="C128" s="476" t="s">
        <v>1220</v>
      </c>
      <c r="D128" s="476" t="s">
        <v>1038</v>
      </c>
      <c r="E128" s="476">
        <v>1</v>
      </c>
      <c r="F128" s="482"/>
    </row>
    <row r="129" spans="2:6" ht="16.5" customHeight="1" thickBot="1">
      <c r="B129" s="918" t="s">
        <v>1178</v>
      </c>
      <c r="C129" s="919"/>
      <c r="D129" s="919"/>
      <c r="E129" s="920"/>
    </row>
    <row r="130" spans="2:6" ht="16.5" thickBot="1">
      <c r="B130" s="475" t="s">
        <v>1176</v>
      </c>
      <c r="C130" s="476" t="s">
        <v>1192</v>
      </c>
      <c r="D130" s="476"/>
      <c r="E130" s="476"/>
      <c r="F130" s="481"/>
    </row>
    <row r="131" spans="2:6" ht="16.5" thickBot="1">
      <c r="B131" s="475" t="s">
        <v>1179</v>
      </c>
      <c r="C131" s="476"/>
      <c r="D131" s="476"/>
      <c r="E131" s="476"/>
      <c r="F131" s="481"/>
    </row>
    <row r="132" spans="2:6" ht="16.5" thickBot="1">
      <c r="B132" s="475" t="s">
        <v>1181</v>
      </c>
      <c r="C132" s="476"/>
      <c r="D132" s="476"/>
      <c r="E132" s="476"/>
      <c r="F132" s="481"/>
    </row>
    <row r="133" spans="2:6" ht="16.5" thickBot="1">
      <c r="B133" s="475" t="s">
        <v>1183</v>
      </c>
      <c r="C133" s="476"/>
      <c r="D133" s="476"/>
      <c r="E133" s="476"/>
      <c r="F133" s="481"/>
    </row>
    <row r="134" spans="2:6" ht="16.5" thickBot="1">
      <c r="B134" s="475" t="s">
        <v>1185</v>
      </c>
      <c r="C134" s="476"/>
      <c r="D134" s="476"/>
      <c r="E134" s="476"/>
      <c r="F134" s="481"/>
    </row>
    <row r="135" spans="2:6" ht="16.5" thickBot="1">
      <c r="B135" s="483" t="s">
        <v>1240</v>
      </c>
    </row>
    <row r="136" spans="2:6" ht="16.5" thickBot="1">
      <c r="B136" s="473" t="s">
        <v>1125</v>
      </c>
      <c r="C136" s="474" t="s">
        <v>1126</v>
      </c>
      <c r="D136" s="474" t="s">
        <v>1127</v>
      </c>
      <c r="E136" s="474" t="s">
        <v>1128</v>
      </c>
    </row>
    <row r="137" spans="2:6" ht="63.75" thickBot="1">
      <c r="B137" s="475" t="s">
        <v>1129</v>
      </c>
      <c r="C137" s="476" t="s">
        <v>1221</v>
      </c>
      <c r="D137" s="476" t="s">
        <v>564</v>
      </c>
      <c r="E137" s="476">
        <v>1</v>
      </c>
    </row>
    <row r="138" spans="2:6" ht="16.5" thickBot="1">
      <c r="B138" s="475" t="s">
        <v>1130</v>
      </c>
      <c r="C138" s="476" t="s">
        <v>1222</v>
      </c>
      <c r="D138" s="476" t="s">
        <v>1132</v>
      </c>
      <c r="E138" s="476">
        <v>1</v>
      </c>
    </row>
    <row r="139" spans="2:6" ht="16.5" thickBot="1">
      <c r="B139" s="475" t="s">
        <v>1133</v>
      </c>
      <c r="C139" s="476" t="s">
        <v>529</v>
      </c>
      <c r="D139" s="476" t="s">
        <v>1132</v>
      </c>
      <c r="E139" s="476">
        <v>2</v>
      </c>
    </row>
    <row r="140" spans="2:6" ht="32.25" thickBot="1">
      <c r="B140" s="475" t="s">
        <v>1135</v>
      </c>
      <c r="C140" s="476" t="s">
        <v>1223</v>
      </c>
      <c r="D140" s="476" t="s">
        <v>1132</v>
      </c>
      <c r="E140" s="476">
        <v>1</v>
      </c>
    </row>
    <row r="141" spans="2:6" ht="16.5" thickBot="1">
      <c r="B141" s="475" t="s">
        <v>1137</v>
      </c>
      <c r="C141" s="476" t="s">
        <v>1224</v>
      </c>
      <c r="D141" s="476" t="s">
        <v>1132</v>
      </c>
      <c r="E141" s="476">
        <v>1</v>
      </c>
    </row>
    <row r="142" spans="2:6" ht="32.25" thickBot="1">
      <c r="B142" s="475" t="s">
        <v>1139</v>
      </c>
      <c r="C142" s="476" t="s">
        <v>1225</v>
      </c>
      <c r="D142" s="476" t="s">
        <v>1038</v>
      </c>
      <c r="E142" s="476" t="s">
        <v>426</v>
      </c>
    </row>
    <row r="143" spans="2:6" ht="32.25" thickBot="1">
      <c r="B143" s="475" t="s">
        <v>1141</v>
      </c>
      <c r="C143" s="476" t="s">
        <v>1226</v>
      </c>
      <c r="D143" s="476" t="s">
        <v>564</v>
      </c>
      <c r="E143" s="476">
        <v>5</v>
      </c>
    </row>
    <row r="144" spans="2:6" ht="32.25" thickBot="1">
      <c r="B144" s="475" t="s">
        <v>1143</v>
      </c>
      <c r="C144" s="476" t="s">
        <v>1227</v>
      </c>
      <c r="D144" s="476" t="s">
        <v>1132</v>
      </c>
      <c r="E144" s="476">
        <v>5</v>
      </c>
    </row>
    <row r="145" spans="2:5" ht="32.25" thickBot="1">
      <c r="B145" s="475" t="s">
        <v>1145</v>
      </c>
      <c r="C145" s="476" t="s">
        <v>1228</v>
      </c>
      <c r="D145" s="476" t="s">
        <v>1132</v>
      </c>
      <c r="E145" s="476">
        <v>5</v>
      </c>
    </row>
    <row r="146" spans="2:5" ht="32.25" thickBot="1">
      <c r="B146" s="475" t="s">
        <v>1147</v>
      </c>
      <c r="C146" s="476" t="s">
        <v>1229</v>
      </c>
      <c r="D146" s="476" t="s">
        <v>1132</v>
      </c>
      <c r="E146" s="476">
        <v>2</v>
      </c>
    </row>
    <row r="147" spans="2:5" ht="32.25" thickBot="1">
      <c r="B147" s="475" t="s">
        <v>1149</v>
      </c>
      <c r="C147" s="476" t="s">
        <v>1230</v>
      </c>
      <c r="D147" s="476" t="s">
        <v>1132</v>
      </c>
      <c r="E147" s="476">
        <v>2</v>
      </c>
    </row>
    <row r="148" spans="2:5" ht="16.5" thickBot="1">
      <c r="B148" s="475" t="s">
        <v>1151</v>
      </c>
      <c r="C148" s="476" t="s">
        <v>1231</v>
      </c>
      <c r="D148" s="476" t="s">
        <v>1132</v>
      </c>
      <c r="E148" s="476">
        <v>2</v>
      </c>
    </row>
    <row r="149" spans="2:5" ht="16.5" thickBot="1">
      <c r="B149" s="475" t="s">
        <v>1154</v>
      </c>
      <c r="C149" s="476" t="s">
        <v>1232</v>
      </c>
      <c r="D149" s="476" t="s">
        <v>1132</v>
      </c>
      <c r="E149" s="476">
        <v>1</v>
      </c>
    </row>
    <row r="150" spans="2:5" ht="32.25" thickBot="1">
      <c r="B150" s="475" t="s">
        <v>1156</v>
      </c>
      <c r="C150" s="476" t="s">
        <v>1233</v>
      </c>
      <c r="D150" s="476" t="s">
        <v>1132</v>
      </c>
      <c r="E150" s="476">
        <v>1</v>
      </c>
    </row>
    <row r="151" spans="2:5" ht="16.5" thickBot="1">
      <c r="B151" s="475" t="s">
        <v>1158</v>
      </c>
      <c r="C151" s="476" t="s">
        <v>1234</v>
      </c>
      <c r="D151" s="476" t="s">
        <v>1132</v>
      </c>
      <c r="E151" s="476">
        <v>1</v>
      </c>
    </row>
    <row r="152" spans="2:5" ht="32.25" thickBot="1">
      <c r="B152" s="475" t="s">
        <v>1160</v>
      </c>
      <c r="C152" s="476" t="s">
        <v>1235</v>
      </c>
      <c r="D152" s="476" t="s">
        <v>1132</v>
      </c>
      <c r="E152" s="476">
        <v>15</v>
      </c>
    </row>
    <row r="153" spans="2:5" ht="16.5" thickBot="1">
      <c r="B153" s="475" t="s">
        <v>1162</v>
      </c>
      <c r="C153" s="476" t="s">
        <v>1236</v>
      </c>
      <c r="D153" s="476" t="s">
        <v>1132</v>
      </c>
      <c r="E153" s="476">
        <v>1</v>
      </c>
    </row>
    <row r="154" spans="2:5" ht="16.5" thickBot="1">
      <c r="B154" s="475" t="s">
        <v>1164</v>
      </c>
      <c r="C154" s="476" t="s">
        <v>389</v>
      </c>
      <c r="D154" s="476" t="s">
        <v>1132</v>
      </c>
      <c r="E154" s="476">
        <v>1</v>
      </c>
    </row>
    <row r="155" spans="2:5" ht="16.5" thickBot="1">
      <c r="B155" s="475" t="s">
        <v>1166</v>
      </c>
      <c r="C155" s="476" t="s">
        <v>1237</v>
      </c>
      <c r="D155" s="476" t="s">
        <v>1132</v>
      </c>
      <c r="E155" s="476">
        <v>2</v>
      </c>
    </row>
    <row r="156" spans="2:5" ht="32.25" thickBot="1">
      <c r="B156" s="475" t="s">
        <v>1168</v>
      </c>
      <c r="C156" s="476" t="s">
        <v>1238</v>
      </c>
      <c r="D156" s="476" t="s">
        <v>1132</v>
      </c>
      <c r="E156" s="476">
        <v>2</v>
      </c>
    </row>
    <row r="157" spans="2:5" ht="16.5" thickBot="1">
      <c r="B157" s="475" t="s">
        <v>1170</v>
      </c>
      <c r="C157" s="476" t="s">
        <v>1239</v>
      </c>
      <c r="D157" s="476"/>
      <c r="E157" s="476"/>
    </row>
    <row r="158" spans="2:5" ht="32.25" thickBot="1">
      <c r="B158" s="483" t="s">
        <v>1415</v>
      </c>
    </row>
    <row r="159" spans="2:5" ht="16.5" thickBot="1">
      <c r="B159" s="484"/>
      <c r="C159" s="485" t="s">
        <v>1126</v>
      </c>
      <c r="D159" s="485" t="s">
        <v>1127</v>
      </c>
      <c r="E159" s="485" t="s">
        <v>1241</v>
      </c>
    </row>
    <row r="160" spans="2:5" ht="16.5" thickBot="1">
      <c r="B160" s="486"/>
      <c r="C160" s="487" t="s">
        <v>1242</v>
      </c>
      <c r="D160" s="476"/>
      <c r="E160" s="476"/>
    </row>
    <row r="161" spans="2:5" ht="16.5" thickBot="1">
      <c r="B161" s="475" t="s">
        <v>1129</v>
      </c>
      <c r="C161" s="476" t="s">
        <v>389</v>
      </c>
      <c r="D161" s="476" t="s">
        <v>564</v>
      </c>
      <c r="E161" s="476">
        <v>2</v>
      </c>
    </row>
    <row r="162" spans="2:5" ht="16.5" thickBot="1">
      <c r="B162" s="475" t="s">
        <v>1130</v>
      </c>
      <c r="C162" s="476" t="s">
        <v>444</v>
      </c>
      <c r="D162" s="476" t="s">
        <v>1132</v>
      </c>
      <c r="E162" s="476">
        <v>1</v>
      </c>
    </row>
    <row r="163" spans="2:5" ht="32.25" thickBot="1">
      <c r="B163" s="475" t="s">
        <v>1133</v>
      </c>
      <c r="C163" s="476" t="s">
        <v>1243</v>
      </c>
      <c r="D163" s="476" t="s">
        <v>1132</v>
      </c>
      <c r="E163" s="476">
        <v>11</v>
      </c>
    </row>
    <row r="164" spans="2:5" ht="16.5" thickBot="1">
      <c r="B164" s="475" t="s">
        <v>1135</v>
      </c>
      <c r="C164" s="476" t="s">
        <v>1244</v>
      </c>
      <c r="D164" s="476" t="s">
        <v>1132</v>
      </c>
      <c r="E164" s="476">
        <v>1</v>
      </c>
    </row>
    <row r="165" spans="2:5" ht="16.5" thickBot="1">
      <c r="B165" s="475" t="s">
        <v>1137</v>
      </c>
      <c r="C165" s="476" t="s">
        <v>1245</v>
      </c>
      <c r="D165" s="476" t="s">
        <v>1132</v>
      </c>
      <c r="E165" s="476">
        <v>1</v>
      </c>
    </row>
    <row r="166" spans="2:5" ht="32.25" thickBot="1">
      <c r="B166" s="475" t="s">
        <v>1139</v>
      </c>
      <c r="C166" s="476" t="s">
        <v>1246</v>
      </c>
      <c r="D166" s="476" t="s">
        <v>1132</v>
      </c>
      <c r="E166" s="476">
        <v>1</v>
      </c>
    </row>
    <row r="167" spans="2:5" ht="32.25" thickBot="1">
      <c r="B167" s="475" t="s">
        <v>1141</v>
      </c>
      <c r="C167" s="476" t="s">
        <v>1247</v>
      </c>
      <c r="D167" s="476" t="s">
        <v>1132</v>
      </c>
      <c r="E167" s="476">
        <v>1</v>
      </c>
    </row>
    <row r="168" spans="2:5" ht="32.25" thickBot="1">
      <c r="B168" s="475" t="s">
        <v>1143</v>
      </c>
      <c r="C168" s="476" t="s">
        <v>1248</v>
      </c>
      <c r="D168" s="476" t="s">
        <v>401</v>
      </c>
      <c r="E168" s="476">
        <v>1</v>
      </c>
    </row>
    <row r="169" spans="2:5" ht="16.5" thickBot="1">
      <c r="B169" s="475" t="s">
        <v>1145</v>
      </c>
      <c r="C169" s="476" t="s">
        <v>1249</v>
      </c>
      <c r="D169" s="476" t="s">
        <v>564</v>
      </c>
      <c r="E169" s="476">
        <v>1</v>
      </c>
    </row>
    <row r="170" spans="2:5" ht="32.25" thickBot="1">
      <c r="B170" s="475" t="s">
        <v>1147</v>
      </c>
      <c r="C170" s="476" t="s">
        <v>1250</v>
      </c>
      <c r="D170" s="476" t="s">
        <v>1132</v>
      </c>
      <c r="E170" s="476">
        <v>1</v>
      </c>
    </row>
    <row r="171" spans="2:5" ht="16.5" thickBot="1">
      <c r="B171" s="475" t="s">
        <v>1149</v>
      </c>
      <c r="C171" s="476" t="s">
        <v>1251</v>
      </c>
      <c r="D171" s="476" t="s">
        <v>1132</v>
      </c>
      <c r="E171" s="476">
        <v>1</v>
      </c>
    </row>
    <row r="172" spans="2:5" ht="16.5" thickBot="1">
      <c r="B172" s="475" t="s">
        <v>1151</v>
      </c>
      <c r="C172" s="476" t="s">
        <v>1252</v>
      </c>
      <c r="D172" s="476" t="s">
        <v>1132</v>
      </c>
      <c r="E172" s="476">
        <v>1</v>
      </c>
    </row>
    <row r="173" spans="2:5" ht="16.5" thickBot="1">
      <c r="B173" s="475" t="s">
        <v>1154</v>
      </c>
      <c r="C173" s="476" t="s">
        <v>1253</v>
      </c>
      <c r="D173" s="476" t="s">
        <v>1132</v>
      </c>
      <c r="E173" s="476">
        <v>1</v>
      </c>
    </row>
    <row r="174" spans="2:5" ht="16.5" thickBot="1">
      <c r="B174" s="475" t="s">
        <v>1156</v>
      </c>
      <c r="C174" s="476" t="s">
        <v>1254</v>
      </c>
      <c r="D174" s="476" t="s">
        <v>1132</v>
      </c>
      <c r="E174" s="476">
        <v>1</v>
      </c>
    </row>
    <row r="175" spans="2:5" ht="16.5" thickBot="1">
      <c r="B175" s="475" t="s">
        <v>1158</v>
      </c>
      <c r="C175" s="476" t="s">
        <v>1255</v>
      </c>
      <c r="D175" s="476" t="s">
        <v>1132</v>
      </c>
      <c r="E175" s="476">
        <v>1</v>
      </c>
    </row>
    <row r="176" spans="2:5" ht="16.5" thickBot="1">
      <c r="B176" s="475" t="s">
        <v>1160</v>
      </c>
      <c r="C176" s="476" t="s">
        <v>1256</v>
      </c>
      <c r="D176" s="476" t="s">
        <v>1132</v>
      </c>
      <c r="E176" s="476">
        <v>1</v>
      </c>
    </row>
    <row r="177" spans="2:5" ht="32.25" thickBot="1">
      <c r="B177" s="475" t="s">
        <v>1162</v>
      </c>
      <c r="C177" s="476" t="s">
        <v>1257</v>
      </c>
      <c r="D177" s="476" t="s">
        <v>1132</v>
      </c>
      <c r="E177" s="476">
        <v>1</v>
      </c>
    </row>
    <row r="178" spans="2:5" ht="32.25" thickBot="1">
      <c r="B178" s="475" t="s">
        <v>1164</v>
      </c>
      <c r="C178" s="476" t="s">
        <v>1258</v>
      </c>
      <c r="D178" s="476" t="s">
        <v>1038</v>
      </c>
      <c r="E178" s="476">
        <v>1</v>
      </c>
    </row>
    <row r="179" spans="2:5" ht="32.25" thickBot="1">
      <c r="B179" s="475" t="s">
        <v>1166</v>
      </c>
      <c r="C179" s="476" t="s">
        <v>1259</v>
      </c>
      <c r="D179" s="476" t="s">
        <v>564</v>
      </c>
      <c r="E179" s="476">
        <v>50</v>
      </c>
    </row>
    <row r="180" spans="2:5" ht="32.25" thickBot="1">
      <c r="B180" s="475" t="s">
        <v>1168</v>
      </c>
      <c r="C180" s="476" t="s">
        <v>1260</v>
      </c>
      <c r="D180" s="476" t="s">
        <v>1132</v>
      </c>
      <c r="E180" s="476">
        <v>50</v>
      </c>
    </row>
    <row r="181" spans="2:5" ht="32.25" thickBot="1">
      <c r="B181" s="475" t="s">
        <v>1170</v>
      </c>
      <c r="C181" s="476" t="s">
        <v>1261</v>
      </c>
      <c r="D181" s="476" t="s">
        <v>1132</v>
      </c>
      <c r="E181" s="476">
        <v>400</v>
      </c>
    </row>
    <row r="182" spans="2:5" ht="16.5" thickBot="1">
      <c r="B182" s="475" t="s">
        <v>1172</v>
      </c>
      <c r="C182" s="476" t="s">
        <v>1262</v>
      </c>
      <c r="D182" s="476" t="s">
        <v>1132</v>
      </c>
      <c r="E182" s="476">
        <v>2</v>
      </c>
    </row>
    <row r="183" spans="2:5" ht="16.5" thickBot="1">
      <c r="B183" s="475" t="s">
        <v>1174</v>
      </c>
      <c r="C183" s="476" t="s">
        <v>1263</v>
      </c>
      <c r="D183" s="476" t="s">
        <v>1132</v>
      </c>
      <c r="E183" s="476">
        <v>2</v>
      </c>
    </row>
    <row r="184" spans="2:5" ht="32.25" thickBot="1">
      <c r="B184" s="475" t="s">
        <v>1176</v>
      </c>
      <c r="C184" s="476" t="s">
        <v>1264</v>
      </c>
      <c r="D184" s="476" t="s">
        <v>1132</v>
      </c>
      <c r="E184" s="476">
        <v>10</v>
      </c>
    </row>
    <row r="185" spans="2:5" ht="16.5" thickBot="1">
      <c r="B185" s="475" t="s">
        <v>1179</v>
      </c>
      <c r="C185" s="476" t="s">
        <v>1265</v>
      </c>
      <c r="D185" s="476" t="s">
        <v>1132</v>
      </c>
      <c r="E185" s="476">
        <v>1</v>
      </c>
    </row>
    <row r="186" spans="2:5" ht="16.5" thickBot="1">
      <c r="B186" s="475" t="s">
        <v>1181</v>
      </c>
      <c r="C186" s="476" t="s">
        <v>1266</v>
      </c>
      <c r="D186" s="476" t="s">
        <v>1132</v>
      </c>
      <c r="E186" s="476">
        <v>2</v>
      </c>
    </row>
    <row r="187" spans="2:5" ht="16.5" thickBot="1">
      <c r="B187" s="475" t="s">
        <v>1183</v>
      </c>
      <c r="C187" s="476" t="s">
        <v>1267</v>
      </c>
      <c r="D187" s="476" t="s">
        <v>1132</v>
      </c>
      <c r="E187" s="476">
        <v>1</v>
      </c>
    </row>
    <row r="188" spans="2:5" ht="48" thickBot="1">
      <c r="B188" s="475" t="s">
        <v>1185</v>
      </c>
      <c r="C188" s="476" t="s">
        <v>1268</v>
      </c>
      <c r="D188" s="476" t="s">
        <v>1132</v>
      </c>
      <c r="E188" s="476" t="s">
        <v>1269</v>
      </c>
    </row>
    <row r="189" spans="2:5" ht="16.5" thickBot="1">
      <c r="B189" s="475" t="s">
        <v>1187</v>
      </c>
      <c r="C189" s="476" t="s">
        <v>1270</v>
      </c>
      <c r="D189" s="476" t="s">
        <v>1132</v>
      </c>
      <c r="E189" s="476">
        <v>200</v>
      </c>
    </row>
    <row r="190" spans="2:5" ht="16.5" thickBot="1">
      <c r="B190" s="475" t="s">
        <v>1189</v>
      </c>
      <c r="C190" s="476" t="s">
        <v>1271</v>
      </c>
      <c r="D190" s="476" t="s">
        <v>1132</v>
      </c>
      <c r="E190" s="476">
        <v>10</v>
      </c>
    </row>
    <row r="191" spans="2:5" ht="16.5" thickBot="1">
      <c r="B191" s="475" t="s">
        <v>1191</v>
      </c>
      <c r="C191" s="476" t="s">
        <v>1272</v>
      </c>
      <c r="D191" s="476" t="s">
        <v>1132</v>
      </c>
      <c r="E191" s="476">
        <v>10</v>
      </c>
    </row>
    <row r="192" spans="2:5" ht="16.5" thickBot="1">
      <c r="B192" s="475" t="s">
        <v>1194</v>
      </c>
      <c r="C192" s="476" t="s">
        <v>1273</v>
      </c>
      <c r="D192" s="476" t="s">
        <v>1132</v>
      </c>
      <c r="E192" s="476">
        <v>5</v>
      </c>
    </row>
    <row r="193" spans="2:5" ht="16.5" thickBot="1">
      <c r="B193" s="475" t="s">
        <v>1274</v>
      </c>
      <c r="C193" s="476" t="s">
        <v>1275</v>
      </c>
      <c r="D193" s="476" t="s">
        <v>1132</v>
      </c>
      <c r="E193" s="476">
        <v>5</v>
      </c>
    </row>
    <row r="194" spans="2:5" ht="16.5" thickBot="1">
      <c r="B194" s="475" t="s">
        <v>1276</v>
      </c>
      <c r="C194" s="476" t="s">
        <v>1277</v>
      </c>
      <c r="D194" s="476" t="s">
        <v>1132</v>
      </c>
      <c r="E194" s="476">
        <v>2</v>
      </c>
    </row>
    <row r="195" spans="2:5" ht="32.25" thickBot="1">
      <c r="B195" s="475" t="s">
        <v>1278</v>
      </c>
      <c r="C195" s="476" t="s">
        <v>1279</v>
      </c>
      <c r="D195" s="476" t="s">
        <v>1132</v>
      </c>
      <c r="E195" s="476">
        <v>20</v>
      </c>
    </row>
    <row r="196" spans="2:5" ht="16.5" thickBot="1">
      <c r="B196" s="475" t="s">
        <v>1280</v>
      </c>
      <c r="C196" s="476" t="s">
        <v>1281</v>
      </c>
      <c r="D196" s="476" t="s">
        <v>1132</v>
      </c>
      <c r="E196" s="476">
        <v>2</v>
      </c>
    </row>
    <row r="197" spans="2:5" ht="16.5" thickBot="1">
      <c r="B197" s="475" t="s">
        <v>1282</v>
      </c>
      <c r="C197" s="476" t="s">
        <v>1283</v>
      </c>
      <c r="D197" s="476" t="s">
        <v>1132</v>
      </c>
      <c r="E197" s="476">
        <v>1000</v>
      </c>
    </row>
    <row r="198" spans="2:5" ht="16.5" thickBot="1">
      <c r="B198" s="475" t="s">
        <v>1284</v>
      </c>
      <c r="C198" s="476" t="s">
        <v>1285</v>
      </c>
      <c r="D198" s="476" t="s">
        <v>1132</v>
      </c>
      <c r="E198" s="476">
        <v>20</v>
      </c>
    </row>
    <row r="199" spans="2:5" ht="16.5" thickBot="1">
      <c r="B199" s="475" t="s">
        <v>1286</v>
      </c>
      <c r="C199" s="476" t="s">
        <v>1287</v>
      </c>
      <c r="D199" s="476" t="s">
        <v>1132</v>
      </c>
      <c r="E199" s="476">
        <v>4</v>
      </c>
    </row>
    <row r="200" spans="2:5" ht="32.25" thickBot="1">
      <c r="B200" s="475" t="s">
        <v>1288</v>
      </c>
      <c r="C200" s="476" t="s">
        <v>1289</v>
      </c>
      <c r="D200" s="476" t="s">
        <v>1132</v>
      </c>
      <c r="E200" s="476" t="s">
        <v>1290</v>
      </c>
    </row>
    <row r="201" spans="2:5" ht="16.5" thickBot="1">
      <c r="B201" s="475" t="s">
        <v>1291</v>
      </c>
      <c r="C201" s="476" t="s">
        <v>1292</v>
      </c>
      <c r="D201" s="476" t="s">
        <v>1132</v>
      </c>
      <c r="E201" s="476">
        <v>10</v>
      </c>
    </row>
    <row r="202" spans="2:5" ht="16.5" thickBot="1">
      <c r="B202" s="475" t="s">
        <v>1293</v>
      </c>
      <c r="C202" s="476" t="s">
        <v>1294</v>
      </c>
      <c r="D202" s="476" t="s">
        <v>1132</v>
      </c>
      <c r="E202" s="476">
        <v>2</v>
      </c>
    </row>
    <row r="203" spans="2:5" ht="19.5" thickBot="1">
      <c r="B203" s="475" t="s">
        <v>1295</v>
      </c>
      <c r="C203" s="476" t="s">
        <v>1296</v>
      </c>
      <c r="D203" s="476" t="s">
        <v>1132</v>
      </c>
      <c r="E203" s="476">
        <v>1</v>
      </c>
    </row>
    <row r="204" spans="2:5" ht="16.5" thickBot="1">
      <c r="B204" s="475" t="s">
        <v>1297</v>
      </c>
      <c r="C204" s="476" t="s">
        <v>1298</v>
      </c>
      <c r="D204" s="476" t="s">
        <v>1132</v>
      </c>
      <c r="E204" s="476">
        <v>5</v>
      </c>
    </row>
    <row r="205" spans="2:5" ht="16.5" thickBot="1">
      <c r="B205" s="475" t="s">
        <v>1299</v>
      </c>
      <c r="C205" s="476" t="s">
        <v>1300</v>
      </c>
      <c r="D205" s="476" t="s">
        <v>1132</v>
      </c>
      <c r="E205" s="476">
        <v>40</v>
      </c>
    </row>
    <row r="206" spans="2:5" ht="32.25" thickBot="1">
      <c r="B206" s="475" t="s">
        <v>1301</v>
      </c>
      <c r="C206" s="476" t="s">
        <v>1302</v>
      </c>
      <c r="D206" s="476" t="s">
        <v>1132</v>
      </c>
      <c r="E206" s="476">
        <v>1000</v>
      </c>
    </row>
    <row r="207" spans="2:5" ht="16.5" thickBot="1">
      <c r="B207" s="475" t="s">
        <v>1303</v>
      </c>
      <c r="C207" s="476" t="s">
        <v>1304</v>
      </c>
      <c r="D207" s="476" t="s">
        <v>1132</v>
      </c>
      <c r="E207" s="476">
        <v>50</v>
      </c>
    </row>
    <row r="208" spans="2:5" ht="32.25" thickBot="1">
      <c r="B208" s="475" t="s">
        <v>1305</v>
      </c>
      <c r="C208" s="476" t="s">
        <v>1306</v>
      </c>
      <c r="D208" s="476" t="s">
        <v>1132</v>
      </c>
      <c r="E208" s="476">
        <v>10</v>
      </c>
    </row>
    <row r="209" spans="2:5" ht="16.5" thickBot="1">
      <c r="B209" s="486"/>
      <c r="C209" s="487" t="s">
        <v>1307</v>
      </c>
      <c r="D209" s="476"/>
      <c r="E209" s="476"/>
    </row>
    <row r="210" spans="2:5" ht="16.5" thickBot="1">
      <c r="B210" s="475" t="s">
        <v>1308</v>
      </c>
      <c r="C210" s="476" t="s">
        <v>1309</v>
      </c>
      <c r="D210" s="476" t="s">
        <v>564</v>
      </c>
      <c r="E210" s="476">
        <v>1</v>
      </c>
    </row>
    <row r="211" spans="2:5" ht="35.25" thickBot="1">
      <c r="B211" s="475" t="s">
        <v>1310</v>
      </c>
      <c r="C211" s="476" t="s">
        <v>1311</v>
      </c>
      <c r="D211" s="476" t="s">
        <v>1132</v>
      </c>
      <c r="E211" s="476">
        <v>1</v>
      </c>
    </row>
    <row r="212" spans="2:5" ht="16.5" thickBot="1">
      <c r="B212" s="475" t="s">
        <v>1312</v>
      </c>
      <c r="C212" s="476" t="s">
        <v>1313</v>
      </c>
      <c r="D212" s="476" t="s">
        <v>1132</v>
      </c>
      <c r="E212" s="476">
        <v>1</v>
      </c>
    </row>
    <row r="213" spans="2:5" ht="16.5" thickBot="1">
      <c r="B213" s="475" t="s">
        <v>1314</v>
      </c>
      <c r="C213" s="476" t="s">
        <v>472</v>
      </c>
      <c r="D213" s="476" t="s">
        <v>1132</v>
      </c>
      <c r="E213" s="476">
        <v>1</v>
      </c>
    </row>
    <row r="214" spans="2:5" ht="16.5" thickBot="1">
      <c r="B214" s="475" t="s">
        <v>1315</v>
      </c>
      <c r="C214" s="476" t="s">
        <v>1316</v>
      </c>
      <c r="D214" s="476" t="s">
        <v>1132</v>
      </c>
      <c r="E214" s="476">
        <v>1</v>
      </c>
    </row>
    <row r="215" spans="2:5" ht="32.25" thickBot="1">
      <c r="B215" s="475" t="s">
        <v>1317</v>
      </c>
      <c r="C215" s="476" t="s">
        <v>1318</v>
      </c>
      <c r="D215" s="476" t="s">
        <v>1132</v>
      </c>
      <c r="E215" s="476" t="s">
        <v>426</v>
      </c>
    </row>
    <row r="216" spans="2:5" ht="16.5" thickBot="1">
      <c r="B216" s="475" t="s">
        <v>1319</v>
      </c>
      <c r="C216" s="476" t="s">
        <v>1245</v>
      </c>
      <c r="D216" s="476" t="s">
        <v>1132</v>
      </c>
      <c r="E216" s="476">
        <v>1</v>
      </c>
    </row>
    <row r="217" spans="2:5" ht="16.5" thickBot="1">
      <c r="B217" s="475" t="s">
        <v>1320</v>
      </c>
      <c r="C217" s="476" t="s">
        <v>436</v>
      </c>
      <c r="D217" s="476" t="s">
        <v>1132</v>
      </c>
      <c r="E217" s="476">
        <v>1</v>
      </c>
    </row>
    <row r="218" spans="2:5" ht="16.5" thickBot="1">
      <c r="B218" s="475" t="s">
        <v>1321</v>
      </c>
      <c r="C218" s="476" t="s">
        <v>1294</v>
      </c>
      <c r="D218" s="476" t="s">
        <v>1132</v>
      </c>
      <c r="E218" s="476">
        <v>2</v>
      </c>
    </row>
    <row r="219" spans="2:5" ht="16.5" thickBot="1">
      <c r="B219" s="475" t="s">
        <v>1322</v>
      </c>
      <c r="C219" s="476" t="s">
        <v>1323</v>
      </c>
      <c r="D219" s="476" t="s">
        <v>1132</v>
      </c>
      <c r="E219" s="476">
        <v>1</v>
      </c>
    </row>
    <row r="220" spans="2:5" ht="32.25" thickBot="1">
      <c r="B220" s="475" t="s">
        <v>1324</v>
      </c>
      <c r="C220" s="476" t="s">
        <v>1325</v>
      </c>
      <c r="D220" s="476" t="s">
        <v>1132</v>
      </c>
      <c r="E220" s="476" t="s">
        <v>426</v>
      </c>
    </row>
    <row r="221" spans="2:5" ht="16.5" thickBot="1">
      <c r="B221" s="475" t="s">
        <v>1326</v>
      </c>
      <c r="C221" s="476" t="s">
        <v>1327</v>
      </c>
      <c r="D221" s="476" t="s">
        <v>1132</v>
      </c>
      <c r="E221" s="476">
        <v>1</v>
      </c>
    </row>
    <row r="222" spans="2:5" ht="19.5" thickBot="1">
      <c r="B222" s="475" t="s">
        <v>1328</v>
      </c>
      <c r="C222" s="476" t="s">
        <v>1296</v>
      </c>
      <c r="D222" s="476" t="s">
        <v>1132</v>
      </c>
      <c r="E222" s="476">
        <v>1</v>
      </c>
    </row>
    <row r="223" spans="2:5" ht="19.5" thickBot="1">
      <c r="B223" s="475" t="s">
        <v>1329</v>
      </c>
      <c r="C223" s="476" t="s">
        <v>1330</v>
      </c>
      <c r="D223" s="476" t="s">
        <v>1132</v>
      </c>
      <c r="E223" s="476">
        <v>1</v>
      </c>
    </row>
    <row r="224" spans="2:5" ht="16.5" thickBot="1">
      <c r="B224" s="475" t="s">
        <v>1331</v>
      </c>
      <c r="C224" s="476" t="s">
        <v>389</v>
      </c>
      <c r="D224" s="476" t="s">
        <v>1132</v>
      </c>
      <c r="E224" s="476">
        <v>1</v>
      </c>
    </row>
    <row r="225" spans="2:5" ht="32.25" thickBot="1">
      <c r="B225" s="475" t="s">
        <v>1332</v>
      </c>
      <c r="C225" s="476" t="s">
        <v>1333</v>
      </c>
      <c r="D225" s="476" t="s">
        <v>1132</v>
      </c>
      <c r="E225" s="476">
        <v>1</v>
      </c>
    </row>
    <row r="226" spans="2:5" ht="16.5" thickBot="1">
      <c r="B226" s="486"/>
      <c r="C226" s="487" t="s">
        <v>1334</v>
      </c>
      <c r="D226" s="476"/>
      <c r="E226" s="476"/>
    </row>
    <row r="227" spans="2:5" ht="16.5" thickBot="1">
      <c r="B227" s="475" t="s">
        <v>1335</v>
      </c>
      <c r="C227" s="476" t="s">
        <v>1336</v>
      </c>
      <c r="D227" s="476" t="s">
        <v>1132</v>
      </c>
      <c r="E227" s="476">
        <v>2</v>
      </c>
    </row>
    <row r="228" spans="2:5" ht="16.5" thickBot="1">
      <c r="B228" s="475" t="s">
        <v>1337</v>
      </c>
      <c r="C228" s="476" t="s">
        <v>699</v>
      </c>
      <c r="D228" s="476" t="s">
        <v>1132</v>
      </c>
      <c r="E228" s="476">
        <v>1</v>
      </c>
    </row>
    <row r="229" spans="2:5" ht="16.5" thickBot="1">
      <c r="B229" s="475" t="s">
        <v>1338</v>
      </c>
      <c r="C229" s="476" t="s">
        <v>1339</v>
      </c>
      <c r="D229" s="476" t="s">
        <v>1132</v>
      </c>
      <c r="E229" s="476">
        <v>1</v>
      </c>
    </row>
    <row r="230" spans="2:5" ht="16.5" thickBot="1">
      <c r="B230" s="475" t="s">
        <v>1340</v>
      </c>
      <c r="C230" s="476" t="s">
        <v>389</v>
      </c>
      <c r="D230" s="476" t="s">
        <v>1132</v>
      </c>
      <c r="E230" s="476">
        <v>1</v>
      </c>
    </row>
    <row r="231" spans="2:5" ht="16.5" thickBot="1">
      <c r="B231" s="475" t="s">
        <v>1341</v>
      </c>
      <c r="C231" s="476" t="s">
        <v>451</v>
      </c>
      <c r="D231" s="476" t="s">
        <v>1132</v>
      </c>
      <c r="E231" s="476">
        <v>1</v>
      </c>
    </row>
    <row r="232" spans="2:5" ht="16.5" thickBot="1">
      <c r="B232" s="475" t="s">
        <v>1342</v>
      </c>
      <c r="C232" s="476" t="s">
        <v>1343</v>
      </c>
      <c r="D232" s="476" t="s">
        <v>1132</v>
      </c>
      <c r="E232" s="476">
        <v>1</v>
      </c>
    </row>
    <row r="233" spans="2:5" ht="16.5" thickBot="1">
      <c r="B233" s="475" t="s">
        <v>1344</v>
      </c>
      <c r="C233" s="476" t="s">
        <v>1345</v>
      </c>
      <c r="D233" s="476" t="s">
        <v>1132</v>
      </c>
      <c r="E233" s="476">
        <v>1</v>
      </c>
    </row>
    <row r="234" spans="2:5" ht="16.5" thickBot="1">
      <c r="B234" s="475" t="s">
        <v>1346</v>
      </c>
      <c r="C234" s="476" t="s">
        <v>1347</v>
      </c>
      <c r="D234" s="476" t="s">
        <v>1132</v>
      </c>
      <c r="E234" s="476">
        <v>1</v>
      </c>
    </row>
    <row r="235" spans="2:5" ht="16.5" thickBot="1">
      <c r="B235" s="475" t="s">
        <v>1348</v>
      </c>
      <c r="C235" s="476" t="s">
        <v>1349</v>
      </c>
      <c r="D235" s="476" t="s">
        <v>1132</v>
      </c>
      <c r="E235" s="476">
        <v>1</v>
      </c>
    </row>
    <row r="236" spans="2:5" ht="16.5" thickBot="1">
      <c r="B236" s="475" t="s">
        <v>1350</v>
      </c>
      <c r="C236" s="476" t="s">
        <v>1351</v>
      </c>
      <c r="D236" s="476" t="s">
        <v>1132</v>
      </c>
      <c r="E236" s="476">
        <v>1</v>
      </c>
    </row>
    <row r="237" spans="2:5" ht="16.5" thickBot="1">
      <c r="B237" s="475" t="s">
        <v>1352</v>
      </c>
      <c r="C237" s="476" t="s">
        <v>579</v>
      </c>
      <c r="D237" s="476" t="s">
        <v>1132</v>
      </c>
      <c r="E237" s="476">
        <v>1</v>
      </c>
    </row>
    <row r="238" spans="2:5" ht="16.5" thickBot="1">
      <c r="B238" s="475" t="s">
        <v>1353</v>
      </c>
      <c r="C238" s="476" t="s">
        <v>1354</v>
      </c>
      <c r="D238" s="476" t="s">
        <v>1132</v>
      </c>
      <c r="E238" s="476">
        <v>4</v>
      </c>
    </row>
    <row r="239" spans="2:5" ht="16.5" thickBot="1">
      <c r="B239" s="475" t="s">
        <v>1355</v>
      </c>
      <c r="C239" s="476" t="s">
        <v>1356</v>
      </c>
      <c r="D239" s="476" t="s">
        <v>1132</v>
      </c>
      <c r="E239" s="476">
        <v>2</v>
      </c>
    </row>
    <row r="240" spans="2:5" ht="16.5" thickBot="1">
      <c r="B240" s="475" t="s">
        <v>1357</v>
      </c>
      <c r="C240" s="476" t="s">
        <v>1358</v>
      </c>
      <c r="D240" s="476" t="s">
        <v>1132</v>
      </c>
      <c r="E240" s="476">
        <v>2</v>
      </c>
    </row>
    <row r="241" spans="2:5" ht="32.25" thickBot="1">
      <c r="B241" s="475" t="s">
        <v>1359</v>
      </c>
      <c r="C241" s="476" t="s">
        <v>1360</v>
      </c>
      <c r="D241" s="476" t="s">
        <v>1132</v>
      </c>
      <c r="E241" s="476">
        <v>2</v>
      </c>
    </row>
    <row r="242" spans="2:5" ht="16.5" thickBot="1">
      <c r="B242" s="475" t="s">
        <v>1361</v>
      </c>
      <c r="C242" s="476" t="s">
        <v>1362</v>
      </c>
      <c r="D242" s="476" t="s">
        <v>1132</v>
      </c>
      <c r="E242" s="476">
        <v>5</v>
      </c>
    </row>
    <row r="243" spans="2:5" ht="16.5" thickBot="1">
      <c r="B243" s="475" t="s">
        <v>1363</v>
      </c>
      <c r="C243" s="476" t="s">
        <v>1364</v>
      </c>
      <c r="D243" s="476" t="s">
        <v>1132</v>
      </c>
      <c r="E243" s="476">
        <v>1</v>
      </c>
    </row>
    <row r="244" spans="2:5" ht="32.25" thickBot="1">
      <c r="B244" s="475" t="s">
        <v>1365</v>
      </c>
      <c r="C244" s="476" t="s">
        <v>1366</v>
      </c>
      <c r="D244" s="476" t="s">
        <v>1132</v>
      </c>
      <c r="E244" s="476">
        <v>10</v>
      </c>
    </row>
    <row r="245" spans="2:5" ht="16.5" thickBot="1">
      <c r="B245" s="475" t="s">
        <v>1367</v>
      </c>
      <c r="C245" s="476" t="s">
        <v>1368</v>
      </c>
      <c r="D245" s="476" t="s">
        <v>1132</v>
      </c>
      <c r="E245" s="476">
        <v>2</v>
      </c>
    </row>
    <row r="246" spans="2:5" ht="32.25" thickBot="1">
      <c r="B246" s="475" t="s">
        <v>1369</v>
      </c>
      <c r="C246" s="476" t="s">
        <v>1370</v>
      </c>
      <c r="D246" s="476" t="s">
        <v>1132</v>
      </c>
      <c r="E246" s="476">
        <v>2</v>
      </c>
    </row>
    <row r="247" spans="2:5" ht="16.5" thickBot="1">
      <c r="B247" s="475" t="s">
        <v>1371</v>
      </c>
      <c r="C247" s="476" t="s">
        <v>480</v>
      </c>
      <c r="D247" s="476" t="s">
        <v>1132</v>
      </c>
      <c r="E247" s="476">
        <v>1</v>
      </c>
    </row>
    <row r="248" spans="2:5" ht="16.5" thickBot="1">
      <c r="B248" s="475" t="s">
        <v>1372</v>
      </c>
      <c r="C248" s="476" t="s">
        <v>1373</v>
      </c>
      <c r="D248" s="476" t="s">
        <v>1132</v>
      </c>
      <c r="E248" s="476">
        <v>6</v>
      </c>
    </row>
    <row r="249" spans="2:5" ht="16.5" thickBot="1">
      <c r="B249" s="475" t="s">
        <v>1374</v>
      </c>
      <c r="C249" s="476" t="s">
        <v>1281</v>
      </c>
      <c r="D249" s="476" t="s">
        <v>1132</v>
      </c>
      <c r="E249" s="476">
        <v>2</v>
      </c>
    </row>
    <row r="250" spans="2:5" ht="32.25" thickBot="1">
      <c r="B250" s="475" t="s">
        <v>1375</v>
      </c>
      <c r="C250" s="476" t="s">
        <v>1376</v>
      </c>
      <c r="D250" s="476" t="s">
        <v>1132</v>
      </c>
      <c r="E250" s="476">
        <v>10</v>
      </c>
    </row>
    <row r="251" spans="2:5" ht="16.5" thickBot="1">
      <c r="B251" s="475" t="s">
        <v>1377</v>
      </c>
      <c r="C251" s="476" t="s">
        <v>1378</v>
      </c>
      <c r="D251" s="476" t="s">
        <v>1132</v>
      </c>
      <c r="E251" s="476">
        <v>5</v>
      </c>
    </row>
    <row r="252" spans="2:5" ht="16.5" thickBot="1">
      <c r="B252" s="475" t="s">
        <v>1379</v>
      </c>
      <c r="C252" s="476" t="s">
        <v>1380</v>
      </c>
      <c r="D252" s="476" t="s">
        <v>1132</v>
      </c>
      <c r="E252" s="476">
        <v>2</v>
      </c>
    </row>
    <row r="253" spans="2:5" ht="16.5" thickBot="1">
      <c r="B253" s="475" t="s">
        <v>1381</v>
      </c>
      <c r="C253" s="476" t="s">
        <v>1382</v>
      </c>
      <c r="D253" s="476" t="s">
        <v>1132</v>
      </c>
      <c r="E253" s="476">
        <v>2</v>
      </c>
    </row>
    <row r="254" spans="2:5" ht="32.25" thickBot="1">
      <c r="B254" s="475" t="s">
        <v>1383</v>
      </c>
      <c r="C254" s="476" t="s">
        <v>1384</v>
      </c>
      <c r="D254" s="476" t="s">
        <v>1132</v>
      </c>
      <c r="E254" s="476">
        <v>6</v>
      </c>
    </row>
    <row r="255" spans="2:5" ht="16.5" thickBot="1">
      <c r="B255" s="475" t="s">
        <v>1385</v>
      </c>
      <c r="C255" s="476" t="s">
        <v>1283</v>
      </c>
      <c r="D255" s="476" t="s">
        <v>1132</v>
      </c>
      <c r="E255" s="476">
        <v>1000</v>
      </c>
    </row>
    <row r="256" spans="2:5" ht="16.5" thickBot="1">
      <c r="B256" s="475" t="s">
        <v>1386</v>
      </c>
      <c r="C256" s="476" t="s">
        <v>1387</v>
      </c>
      <c r="D256" s="476" t="s">
        <v>1132</v>
      </c>
      <c r="E256" s="476">
        <v>1000</v>
      </c>
    </row>
    <row r="257" spans="2:5" ht="32.25" thickBot="1">
      <c r="B257" s="475" t="s">
        <v>1388</v>
      </c>
      <c r="C257" s="476" t="s">
        <v>1389</v>
      </c>
      <c r="D257" s="476" t="s">
        <v>1132</v>
      </c>
      <c r="E257" s="476">
        <v>10</v>
      </c>
    </row>
    <row r="258" spans="2:5" ht="32.25" thickBot="1">
      <c r="B258" s="475" t="s">
        <v>1390</v>
      </c>
      <c r="C258" s="476" t="s">
        <v>1391</v>
      </c>
      <c r="D258" s="476" t="s">
        <v>1132</v>
      </c>
      <c r="E258" s="476">
        <v>17</v>
      </c>
    </row>
    <row r="259" spans="2:5" ht="48" thickBot="1">
      <c r="B259" s="475" t="s">
        <v>1392</v>
      </c>
      <c r="C259" s="476" t="s">
        <v>1393</v>
      </c>
      <c r="D259" s="476" t="s">
        <v>1132</v>
      </c>
      <c r="E259" s="476">
        <v>300</v>
      </c>
    </row>
    <row r="260" spans="2:5" ht="16.5" thickBot="1">
      <c r="B260" s="475" t="s">
        <v>1394</v>
      </c>
      <c r="C260" s="476" t="s">
        <v>1395</v>
      </c>
      <c r="D260" s="476" t="s">
        <v>1132</v>
      </c>
      <c r="E260" s="476">
        <v>5</v>
      </c>
    </row>
    <row r="261" spans="2:5" ht="16.5" thickBot="1">
      <c r="B261" s="475" t="s">
        <v>1396</v>
      </c>
      <c r="C261" s="476" t="s">
        <v>1397</v>
      </c>
      <c r="D261" s="476" t="s">
        <v>1132</v>
      </c>
      <c r="E261" s="476">
        <v>5</v>
      </c>
    </row>
    <row r="262" spans="2:5" ht="16.5" thickBot="1">
      <c r="B262" s="475" t="s">
        <v>1398</v>
      </c>
      <c r="C262" s="476" t="s">
        <v>1399</v>
      </c>
      <c r="D262" s="476" t="s">
        <v>1132</v>
      </c>
      <c r="E262" s="476">
        <v>50</v>
      </c>
    </row>
    <row r="263" spans="2:5" ht="16.5" thickBot="1">
      <c r="B263" s="475" t="s">
        <v>1400</v>
      </c>
      <c r="C263" s="476" t="s">
        <v>1401</v>
      </c>
      <c r="D263" s="476" t="s">
        <v>1132</v>
      </c>
      <c r="E263" s="476"/>
    </row>
    <row r="264" spans="2:5" ht="16.5" thickBot="1">
      <c r="B264" s="475" t="s">
        <v>1402</v>
      </c>
      <c r="C264" s="476" t="s">
        <v>1403</v>
      </c>
      <c r="D264" s="476" t="s">
        <v>1132</v>
      </c>
      <c r="E264" s="476"/>
    </row>
    <row r="265" spans="2:5" ht="16.5" thickBot="1">
      <c r="B265" s="475" t="s">
        <v>1404</v>
      </c>
      <c r="C265" s="476" t="s">
        <v>1405</v>
      </c>
      <c r="D265" s="476" t="s">
        <v>1132</v>
      </c>
      <c r="E265" s="476"/>
    </row>
    <row r="266" spans="2:5" ht="16.5" thickBot="1">
      <c r="B266" s="475" t="s">
        <v>1406</v>
      </c>
      <c r="C266" s="476" t="s">
        <v>1407</v>
      </c>
      <c r="D266" s="476" t="s">
        <v>1132</v>
      </c>
      <c r="E266" s="476"/>
    </row>
    <row r="267" spans="2:5" ht="16.5" thickBot="1">
      <c r="B267" s="475" t="s">
        <v>1408</v>
      </c>
      <c r="C267" s="476" t="s">
        <v>1409</v>
      </c>
      <c r="D267" s="476" t="s">
        <v>1132</v>
      </c>
      <c r="E267" s="476" t="s">
        <v>1410</v>
      </c>
    </row>
    <row r="268" spans="2:5" ht="32.25" thickBot="1">
      <c r="B268" s="475" t="s">
        <v>1411</v>
      </c>
      <c r="C268" s="476" t="s">
        <v>1412</v>
      </c>
      <c r="D268" s="476" t="s">
        <v>1132</v>
      </c>
      <c r="E268" s="476">
        <v>500</v>
      </c>
    </row>
    <row r="269" spans="2:5" ht="16.5" thickBot="1">
      <c r="B269" s="475" t="s">
        <v>1413</v>
      </c>
      <c r="C269" s="476" t="s">
        <v>1414</v>
      </c>
      <c r="D269" s="476" t="s">
        <v>1038</v>
      </c>
      <c r="E269" s="476">
        <v>20</v>
      </c>
    </row>
  </sheetData>
  <mergeCells count="27">
    <mergeCell ref="H3:K3"/>
    <mergeCell ref="M3:M4"/>
    <mergeCell ref="N3:N4"/>
    <mergeCell ref="M5:M6"/>
    <mergeCell ref="N5:N6"/>
    <mergeCell ref="M7:M8"/>
    <mergeCell ref="N7:N8"/>
    <mergeCell ref="B21:B22"/>
    <mergeCell ref="D21:D22"/>
    <mergeCell ref="C27:C28"/>
    <mergeCell ref="N9:N10"/>
    <mergeCell ref="M11:M13"/>
    <mergeCell ref="F29:F30"/>
    <mergeCell ref="M9:M10"/>
    <mergeCell ref="E29:E30"/>
    <mergeCell ref="B92:E92"/>
    <mergeCell ref="B129:E129"/>
    <mergeCell ref="B29:B30"/>
    <mergeCell ref="D29:D30"/>
    <mergeCell ref="C20:C23"/>
    <mergeCell ref="C3:F3"/>
    <mergeCell ref="B5:B6"/>
    <mergeCell ref="C5:C13"/>
    <mergeCell ref="D5:D6"/>
    <mergeCell ref="B14:B15"/>
    <mergeCell ref="C14:C19"/>
    <mergeCell ref="D14:D15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rgb="FF0070C0"/>
  </sheetPr>
  <dimension ref="B3:V142"/>
  <sheetViews>
    <sheetView zoomScale="85" zoomScaleNormal="85" workbookViewId="0">
      <selection activeCell="H19" sqref="H19"/>
    </sheetView>
  </sheetViews>
  <sheetFormatPr defaultRowHeight="15"/>
  <cols>
    <col min="1" max="1" width="5.140625" style="20" customWidth="1"/>
    <col min="2" max="2" width="34.5703125" style="20" bestFit="1" customWidth="1"/>
    <col min="3" max="3" width="13.140625" style="20" customWidth="1"/>
    <col min="4" max="4" width="13.140625" style="20" hidden="1" customWidth="1"/>
    <col min="5" max="5" width="13.140625" style="20" customWidth="1"/>
    <col min="6" max="6" width="9" style="20" bestFit="1" customWidth="1"/>
    <col min="7" max="10" width="8.140625" style="20" bestFit="1" customWidth="1"/>
    <col min="11" max="11" width="3.7109375" style="20" customWidth="1"/>
    <col min="12" max="16" width="13.5703125" style="20" customWidth="1"/>
    <col min="17" max="16384" width="9.140625" style="20"/>
  </cols>
  <sheetData>
    <row r="3" spans="2:16" ht="19.5">
      <c r="B3" s="1" t="s">
        <v>1668</v>
      </c>
      <c r="C3" s="2"/>
      <c r="D3" s="2"/>
      <c r="E3" s="2"/>
    </row>
    <row r="4" spans="2:16">
      <c r="B4" s="3" t="s">
        <v>158</v>
      </c>
      <c r="C4" s="2"/>
      <c r="D4" s="2"/>
      <c r="E4" s="2"/>
    </row>
    <row r="5" spans="2:16" s="25" customFormat="1" ht="12.75"/>
    <row r="6" spans="2:16" s="25" customFormat="1" ht="12.75">
      <c r="B6" s="38" t="s">
        <v>206</v>
      </c>
      <c r="C6" s="39"/>
      <c r="D6" s="39"/>
      <c r="E6" s="39"/>
      <c r="F6" s="921" t="s">
        <v>207</v>
      </c>
      <c r="G6" s="921"/>
      <c r="H6" s="921"/>
      <c r="I6" s="921"/>
      <c r="J6" s="921"/>
      <c r="K6" s="510"/>
      <c r="L6" s="921" t="s">
        <v>208</v>
      </c>
      <c r="M6" s="921"/>
      <c r="N6" s="921"/>
      <c r="O6" s="921"/>
      <c r="P6" s="922"/>
    </row>
    <row r="7" spans="2:16" s="25" customFormat="1" ht="12.75">
      <c r="B7" s="42" t="s">
        <v>209</v>
      </c>
      <c r="C7" s="43"/>
      <c r="D7" s="43"/>
      <c r="E7" s="43"/>
      <c r="F7" s="354" t="s">
        <v>29</v>
      </c>
      <c r="G7" s="354" t="s">
        <v>30</v>
      </c>
      <c r="H7" s="354" t="s">
        <v>31</v>
      </c>
      <c r="I7" s="354" t="s">
        <v>32</v>
      </c>
      <c r="J7" s="354" t="s">
        <v>33</v>
      </c>
      <c r="K7" s="354"/>
      <c r="L7" s="354" t="s">
        <v>29</v>
      </c>
      <c r="M7" s="354" t="s">
        <v>30</v>
      </c>
      <c r="N7" s="354" t="s">
        <v>31</v>
      </c>
      <c r="O7" s="354" t="s">
        <v>32</v>
      </c>
      <c r="P7" s="337" t="s">
        <v>33</v>
      </c>
    </row>
    <row r="8" spans="2:16" s="25" customFormat="1" ht="12.75">
      <c r="B8" s="42"/>
      <c r="C8" s="43"/>
      <c r="D8" s="43"/>
      <c r="E8" s="43"/>
      <c r="F8" s="67">
        <v>41821</v>
      </c>
      <c r="G8" s="67">
        <v>42186</v>
      </c>
      <c r="H8" s="67">
        <v>42552</v>
      </c>
      <c r="I8" s="67">
        <v>42917</v>
      </c>
      <c r="J8" s="67">
        <v>43282</v>
      </c>
      <c r="K8" s="67"/>
      <c r="L8" s="67">
        <v>41821</v>
      </c>
      <c r="M8" s="67">
        <v>42186</v>
      </c>
      <c r="N8" s="67">
        <v>42552</v>
      </c>
      <c r="O8" s="67">
        <v>42917</v>
      </c>
      <c r="P8" s="68">
        <v>43282</v>
      </c>
    </row>
    <row r="9" spans="2:16" s="25" customFormat="1" ht="14.25" customHeight="1">
      <c r="B9" s="47" t="s">
        <v>210</v>
      </c>
      <c r="C9" s="48"/>
      <c r="D9" s="48"/>
      <c r="E9" s="48"/>
      <c r="F9" s="780">
        <f>F34</f>
        <v>3</v>
      </c>
      <c r="G9" s="780">
        <f t="shared" ref="G9:J9" si="0">G34</f>
        <v>0</v>
      </c>
      <c r="H9" s="780">
        <f t="shared" si="0"/>
        <v>0</v>
      </c>
      <c r="I9" s="780">
        <f t="shared" si="0"/>
        <v>0</v>
      </c>
      <c r="J9" s="780">
        <f t="shared" si="0"/>
        <v>0</v>
      </c>
      <c r="K9" s="780"/>
      <c r="L9" s="658">
        <f>L34</f>
        <v>29500</v>
      </c>
      <c r="M9" s="658">
        <f>M34</f>
        <v>0</v>
      </c>
      <c r="N9" s="658">
        <f>N34</f>
        <v>0</v>
      </c>
      <c r="O9" s="658">
        <f>O34</f>
        <v>0</v>
      </c>
      <c r="P9" s="665">
        <f>P34</f>
        <v>0</v>
      </c>
    </row>
    <row r="10" spans="2:16" s="25" customFormat="1" ht="14.25" customHeight="1">
      <c r="B10" s="47" t="str">
        <f>'App 9_Yr1 Headcount'!C9</f>
        <v>Management</v>
      </c>
      <c r="C10" s="48"/>
      <c r="D10" s="48"/>
      <c r="E10" s="48"/>
      <c r="F10" s="780">
        <f>F40</f>
        <v>2</v>
      </c>
      <c r="G10" s="780">
        <f t="shared" ref="G10:J10" si="1">G40</f>
        <v>2</v>
      </c>
      <c r="H10" s="780">
        <f t="shared" si="1"/>
        <v>2</v>
      </c>
      <c r="I10" s="780">
        <f t="shared" si="1"/>
        <v>2</v>
      </c>
      <c r="J10" s="780">
        <f t="shared" si="1"/>
        <v>2</v>
      </c>
      <c r="K10" s="780"/>
      <c r="L10" s="658">
        <f>L40</f>
        <v>156000</v>
      </c>
      <c r="M10" s="658">
        <f>M40</f>
        <v>160680</v>
      </c>
      <c r="N10" s="658">
        <f>N40</f>
        <v>165500.4</v>
      </c>
      <c r="O10" s="658">
        <f>O40</f>
        <v>170465.41200000001</v>
      </c>
      <c r="P10" s="665">
        <f>P40</f>
        <v>175579.37435999996</v>
      </c>
    </row>
    <row r="11" spans="2:16" s="25" customFormat="1" ht="14.25" customHeight="1">
      <c r="B11" s="47" t="str">
        <f>'App 9_Yr1 Headcount'!C10</f>
        <v>Finance &amp; Accounting</v>
      </c>
      <c r="C11" s="48"/>
      <c r="D11" s="48"/>
      <c r="E11" s="48"/>
      <c r="F11" s="780">
        <f>F45</f>
        <v>1</v>
      </c>
      <c r="G11" s="780">
        <f t="shared" ref="G11:J11" si="2">G45</f>
        <v>2</v>
      </c>
      <c r="H11" s="780">
        <f t="shared" si="2"/>
        <v>3</v>
      </c>
      <c r="I11" s="780">
        <f t="shared" si="2"/>
        <v>3</v>
      </c>
      <c r="J11" s="780">
        <f t="shared" si="2"/>
        <v>3</v>
      </c>
      <c r="K11" s="780"/>
      <c r="L11" s="658">
        <f>L45</f>
        <v>21562.5</v>
      </c>
      <c r="M11" s="658">
        <f>M45</f>
        <v>23175</v>
      </c>
      <c r="N11" s="658">
        <f>N45</f>
        <v>27848.625</v>
      </c>
      <c r="O11" s="658">
        <f>O45</f>
        <v>28684.083749999998</v>
      </c>
      <c r="P11" s="665">
        <f>P45</f>
        <v>29544.606262499998</v>
      </c>
    </row>
    <row r="12" spans="2:16" s="25" customFormat="1" ht="12.75">
      <c r="B12" s="47" t="str">
        <f>'App 9_Yr1 Headcount'!C11</f>
        <v>Human Resource Management</v>
      </c>
      <c r="C12" s="48"/>
      <c r="D12" s="48"/>
      <c r="E12" s="48"/>
      <c r="F12" s="780">
        <f>F50</f>
        <v>2</v>
      </c>
      <c r="G12" s="780">
        <f t="shared" ref="G12:J12" si="3">G50</f>
        <v>2</v>
      </c>
      <c r="H12" s="780">
        <f t="shared" si="3"/>
        <v>3</v>
      </c>
      <c r="I12" s="780">
        <f t="shared" si="3"/>
        <v>3</v>
      </c>
      <c r="J12" s="780">
        <f t="shared" si="3"/>
        <v>3</v>
      </c>
      <c r="K12" s="780"/>
      <c r="L12" s="658">
        <f>L50</f>
        <v>18750</v>
      </c>
      <c r="M12" s="658">
        <f>M50</f>
        <v>23175</v>
      </c>
      <c r="N12" s="658">
        <f>N50</f>
        <v>27848.625</v>
      </c>
      <c r="O12" s="658">
        <f>O50</f>
        <v>28684.083749999998</v>
      </c>
      <c r="P12" s="665">
        <f>P50</f>
        <v>29544.606262499998</v>
      </c>
    </row>
    <row r="13" spans="2:16" s="25" customFormat="1" ht="12.75">
      <c r="B13" s="47" t="str">
        <f>'App 9_Yr1 Headcount'!C12</f>
        <v>Consultation</v>
      </c>
      <c r="C13" s="48"/>
      <c r="D13" s="48"/>
      <c r="E13" s="48"/>
      <c r="F13" s="780">
        <f>F57</f>
        <v>9</v>
      </c>
      <c r="G13" s="780">
        <f t="shared" ref="G13:J13" si="4">G57</f>
        <v>9</v>
      </c>
      <c r="H13" s="780">
        <f t="shared" si="4"/>
        <v>9</v>
      </c>
      <c r="I13" s="780">
        <f t="shared" si="4"/>
        <v>9</v>
      </c>
      <c r="J13" s="780">
        <f t="shared" si="4"/>
        <v>9</v>
      </c>
      <c r="K13" s="780"/>
      <c r="L13" s="658">
        <f>L57</f>
        <v>145000</v>
      </c>
      <c r="M13" s="658">
        <f>M57</f>
        <v>149350</v>
      </c>
      <c r="N13" s="658">
        <f>N57</f>
        <v>153830.5</v>
      </c>
      <c r="O13" s="658">
        <f>O57</f>
        <v>158445.41500000001</v>
      </c>
      <c r="P13" s="665">
        <f>P57</f>
        <v>163198.77744999997</v>
      </c>
    </row>
    <row r="14" spans="2:16" s="25" customFormat="1" ht="12.75">
      <c r="B14" s="47" t="str">
        <f>'App 9_Yr1 Headcount'!C13</f>
        <v>Laboratory Service</v>
      </c>
      <c r="C14" s="48"/>
      <c r="D14" s="48"/>
      <c r="E14" s="48"/>
      <c r="F14" s="780">
        <f>F68</f>
        <v>10</v>
      </c>
      <c r="G14" s="780">
        <f t="shared" ref="G14:J14" si="5">G68</f>
        <v>10</v>
      </c>
      <c r="H14" s="780">
        <f t="shared" si="5"/>
        <v>20</v>
      </c>
      <c r="I14" s="780">
        <f t="shared" si="5"/>
        <v>25</v>
      </c>
      <c r="J14" s="780">
        <f t="shared" si="5"/>
        <v>30</v>
      </c>
      <c r="K14" s="780"/>
      <c r="L14" s="658">
        <f>L68</f>
        <v>132500</v>
      </c>
      <c r="M14" s="658">
        <f>M68</f>
        <v>145487.5</v>
      </c>
      <c r="N14" s="658">
        <f>N68</f>
        <v>261246.625</v>
      </c>
      <c r="O14" s="658">
        <f>O68</f>
        <v>316890.83</v>
      </c>
      <c r="P14" s="665">
        <f>P68</f>
        <v>375638.56533749995</v>
      </c>
    </row>
    <row r="15" spans="2:16" s="25" customFormat="1" ht="12.75">
      <c r="B15" s="47" t="str">
        <f>'App 9_Yr1 Headcount'!C14</f>
        <v>Imaging Diagnosis Service</v>
      </c>
      <c r="C15" s="48"/>
      <c r="D15" s="48"/>
      <c r="E15" s="48"/>
      <c r="F15" s="780">
        <f>F101</f>
        <v>24</v>
      </c>
      <c r="G15" s="780">
        <f t="shared" ref="G15:J15" si="6">G101</f>
        <v>26</v>
      </c>
      <c r="H15" s="780">
        <f t="shared" si="6"/>
        <v>54</v>
      </c>
      <c r="I15" s="780">
        <f t="shared" si="6"/>
        <v>54</v>
      </c>
      <c r="J15" s="780">
        <f t="shared" si="6"/>
        <v>54</v>
      </c>
      <c r="K15" s="780"/>
      <c r="L15" s="658">
        <f>L101</f>
        <v>270937.5</v>
      </c>
      <c r="M15" s="658">
        <f>M101</f>
        <v>319300</v>
      </c>
      <c r="N15" s="658">
        <f>N101</f>
        <v>665714.75</v>
      </c>
      <c r="O15" s="658">
        <f>O101</f>
        <v>685686.1925</v>
      </c>
      <c r="P15" s="665">
        <f>P101</f>
        <v>706256.77827499993</v>
      </c>
    </row>
    <row r="16" spans="2:16" s="25" customFormat="1" ht="12.75">
      <c r="B16" s="47" t="str">
        <f>'App 9_Yr1 Headcount'!C15</f>
        <v>Marketing</v>
      </c>
      <c r="C16" s="48"/>
      <c r="D16" s="48"/>
      <c r="E16" s="48"/>
      <c r="F16" s="780">
        <f>F107</f>
        <v>10</v>
      </c>
      <c r="G16" s="780">
        <f t="shared" ref="G16:J16" si="7">G107</f>
        <v>10</v>
      </c>
      <c r="H16" s="780">
        <f t="shared" si="7"/>
        <v>14</v>
      </c>
      <c r="I16" s="780">
        <f t="shared" si="7"/>
        <v>14</v>
      </c>
      <c r="J16" s="780">
        <f t="shared" si="7"/>
        <v>14</v>
      </c>
      <c r="K16" s="780"/>
      <c r="L16" s="658">
        <f>L107</f>
        <v>31500</v>
      </c>
      <c r="M16" s="658">
        <f>M107</f>
        <v>40170</v>
      </c>
      <c r="N16" s="658">
        <f>N107</f>
        <v>52514.55</v>
      </c>
      <c r="O16" s="658">
        <f>O107</f>
        <v>54089.986499999999</v>
      </c>
      <c r="P16" s="665">
        <f>P107</f>
        <v>55712.686094999997</v>
      </c>
    </row>
    <row r="17" spans="2:22" s="25" customFormat="1" ht="12.75">
      <c r="B17" s="47" t="str">
        <f>'App 9_Yr1 Headcount'!C16</f>
        <v>Delivery</v>
      </c>
      <c r="C17" s="48"/>
      <c r="D17" s="48"/>
      <c r="E17" s="48"/>
      <c r="F17" s="780">
        <f>F113</f>
        <v>5</v>
      </c>
      <c r="G17" s="780">
        <f t="shared" ref="G17:J17" si="8">G113</f>
        <v>6</v>
      </c>
      <c r="H17" s="780">
        <f t="shared" si="8"/>
        <v>10</v>
      </c>
      <c r="I17" s="780">
        <f t="shared" si="8"/>
        <v>10</v>
      </c>
      <c r="J17" s="780">
        <f t="shared" si="8"/>
        <v>10</v>
      </c>
      <c r="K17" s="780"/>
      <c r="L17" s="658">
        <f>L113</f>
        <v>25875</v>
      </c>
      <c r="M17" s="658">
        <f>M113</f>
        <v>31672.5</v>
      </c>
      <c r="N17" s="658">
        <f>N113</f>
        <v>41375.1</v>
      </c>
      <c r="O17" s="658">
        <f>O113</f>
        <v>42616.352999999996</v>
      </c>
      <c r="P17" s="665">
        <f>P113</f>
        <v>43894.843589999997</v>
      </c>
    </row>
    <row r="18" spans="2:22" s="25" customFormat="1" ht="12.75">
      <c r="B18" s="47" t="str">
        <f>'App 9_Yr1 Headcount'!C17</f>
        <v>IT</v>
      </c>
      <c r="C18" s="48"/>
      <c r="D18" s="48"/>
      <c r="E18" s="48"/>
      <c r="F18" s="780">
        <f>F119</f>
        <v>2</v>
      </c>
      <c r="G18" s="780">
        <f t="shared" ref="G18:J18" si="9">G119</f>
        <v>2</v>
      </c>
      <c r="H18" s="780">
        <f t="shared" si="9"/>
        <v>2</v>
      </c>
      <c r="I18" s="780">
        <f t="shared" si="9"/>
        <v>2</v>
      </c>
      <c r="J18" s="780">
        <f t="shared" si="9"/>
        <v>2</v>
      </c>
      <c r="K18" s="780"/>
      <c r="L18" s="658">
        <f>L119</f>
        <v>20937.5</v>
      </c>
      <c r="M18" s="658">
        <f>M119</f>
        <v>23175</v>
      </c>
      <c r="N18" s="658">
        <f>N119</f>
        <v>23870.25</v>
      </c>
      <c r="O18" s="658">
        <f>O119</f>
        <v>24586.357499999998</v>
      </c>
      <c r="P18" s="665">
        <f>P119</f>
        <v>25323.948225</v>
      </c>
    </row>
    <row r="19" spans="2:22" s="25" customFormat="1" ht="12.75">
      <c r="B19" s="47" t="str">
        <f>'App 9_Yr1 Headcount'!C18</f>
        <v>Others</v>
      </c>
      <c r="C19" s="48"/>
      <c r="D19" s="48"/>
      <c r="E19" s="48"/>
      <c r="F19" s="780">
        <f>F128</f>
        <v>10</v>
      </c>
      <c r="G19" s="780">
        <f t="shared" ref="G19:J19" si="10">G128</f>
        <v>11</v>
      </c>
      <c r="H19" s="780">
        <f t="shared" si="10"/>
        <v>15</v>
      </c>
      <c r="I19" s="780">
        <f t="shared" si="10"/>
        <v>18</v>
      </c>
      <c r="J19" s="780">
        <f t="shared" si="10"/>
        <v>18</v>
      </c>
      <c r="K19" s="780"/>
      <c r="L19" s="658">
        <f>L128</f>
        <v>7041.6666666666661</v>
      </c>
      <c r="M19" s="658">
        <f>M128</f>
        <v>9527.5</v>
      </c>
      <c r="N19" s="658">
        <f>N128</f>
        <v>13526.474999999999</v>
      </c>
      <c r="O19" s="658">
        <f>O128</f>
        <v>15571.359750000001</v>
      </c>
      <c r="P19" s="665">
        <f>P128</f>
        <v>16038.500542499994</v>
      </c>
    </row>
    <row r="20" spans="2:22" s="25" customFormat="1" ht="12.75">
      <c r="B20" s="497" t="s">
        <v>211</v>
      </c>
      <c r="C20" s="314"/>
      <c r="D20" s="314"/>
      <c r="E20" s="314"/>
      <c r="F20" s="781">
        <f>SUM(F9:F19)</f>
        <v>78</v>
      </c>
      <c r="G20" s="781">
        <f t="shared" ref="G20:J20" si="11">SUM(G9:G19)</f>
        <v>80</v>
      </c>
      <c r="H20" s="781">
        <f t="shared" si="11"/>
        <v>132</v>
      </c>
      <c r="I20" s="781">
        <f t="shared" si="11"/>
        <v>140</v>
      </c>
      <c r="J20" s="781">
        <f t="shared" si="11"/>
        <v>145</v>
      </c>
      <c r="K20" s="781"/>
      <c r="L20" s="550">
        <f>SUM(L9:L19)</f>
        <v>859604.16666666663</v>
      </c>
      <c r="M20" s="550">
        <f t="shared" ref="M20:P20" si="12">SUM(M9:M19)</f>
        <v>925712.5</v>
      </c>
      <c r="N20" s="550">
        <f t="shared" si="12"/>
        <v>1433275.9000000001</v>
      </c>
      <c r="O20" s="550">
        <f t="shared" si="12"/>
        <v>1525720.07375</v>
      </c>
      <c r="P20" s="782">
        <f t="shared" si="12"/>
        <v>1620732.6863999998</v>
      </c>
    </row>
    <row r="21" spans="2:22" s="25" customFormat="1" ht="12.75">
      <c r="B21" s="47" t="s">
        <v>212</v>
      </c>
      <c r="C21" s="48"/>
      <c r="D21" s="48"/>
      <c r="E21" s="48"/>
      <c r="F21" s="680"/>
      <c r="G21" s="680"/>
      <c r="H21" s="680"/>
      <c r="I21" s="680"/>
      <c r="J21" s="680"/>
      <c r="K21" s="680"/>
      <c r="L21" s="456">
        <f>L20*('App 9_Yr1 Headcount'!$F$54)</f>
        <v>68768.333333333328</v>
      </c>
      <c r="M21" s="456">
        <f>M20*('App 9_Yr1 Headcount'!$F$54)</f>
        <v>74057</v>
      </c>
      <c r="N21" s="456">
        <f>N20*('App 9_Yr1 Headcount'!$F$54)</f>
        <v>114662.07200000001</v>
      </c>
      <c r="O21" s="456">
        <f>O20*('App 9_Yr1 Headcount'!$F$54)</f>
        <v>122057.6059</v>
      </c>
      <c r="P21" s="576">
        <f>P20*('App 9_Yr1 Headcount'!$F$54)</f>
        <v>129658.61491199999</v>
      </c>
    </row>
    <row r="22" spans="2:22" s="25" customFormat="1" ht="12.75">
      <c r="B22" s="497" t="s">
        <v>213</v>
      </c>
      <c r="C22" s="314"/>
      <c r="D22" s="314"/>
      <c r="E22" s="314"/>
      <c r="F22" s="783"/>
      <c r="G22" s="783"/>
      <c r="H22" s="783"/>
      <c r="I22" s="783"/>
      <c r="J22" s="783"/>
      <c r="K22" s="783"/>
      <c r="L22" s="550">
        <f>SUM(L20:L21)</f>
        <v>928372.5</v>
      </c>
      <c r="M22" s="550">
        <f t="shared" ref="M22:P22" si="13">SUM(M20:M21)</f>
        <v>999769.5</v>
      </c>
      <c r="N22" s="550">
        <f t="shared" si="13"/>
        <v>1547937.9720000001</v>
      </c>
      <c r="O22" s="550">
        <f t="shared" si="13"/>
        <v>1647777.6796500001</v>
      </c>
      <c r="P22" s="782">
        <f t="shared" si="13"/>
        <v>1750391.3013119998</v>
      </c>
    </row>
    <row r="23" spans="2:22" s="25" customFormat="1" ht="12.75">
      <c r="B23" s="47" t="s">
        <v>214</v>
      </c>
      <c r="C23" s="51"/>
      <c r="D23" s="51"/>
      <c r="E23" s="51"/>
      <c r="F23" s="51"/>
      <c r="G23" s="51"/>
      <c r="H23" s="51"/>
      <c r="I23" s="51"/>
      <c r="J23" s="51"/>
      <c r="K23" s="51"/>
      <c r="L23" s="754">
        <f>L22/F20</f>
        <v>11902.211538461539</v>
      </c>
      <c r="M23" s="754">
        <f t="shared" ref="M23:P23" si="14">M22/G20</f>
        <v>12497.11875</v>
      </c>
      <c r="N23" s="754">
        <f t="shared" si="14"/>
        <v>11726.802818181819</v>
      </c>
      <c r="O23" s="754">
        <f t="shared" si="14"/>
        <v>11769.840568928572</v>
      </c>
      <c r="P23" s="755">
        <f t="shared" si="14"/>
        <v>12071.664146979308</v>
      </c>
      <c r="Q23" s="48"/>
      <c r="R23" s="48"/>
      <c r="S23" s="48"/>
      <c r="T23" s="48"/>
      <c r="U23" s="48"/>
      <c r="V23" s="48"/>
    </row>
    <row r="24" spans="2:22" s="25" customFormat="1" ht="12.75">
      <c r="B24" s="60"/>
      <c r="C24" s="34"/>
      <c r="D24" s="34"/>
      <c r="E24" s="34"/>
      <c r="F24" s="34"/>
      <c r="G24" s="34"/>
      <c r="H24" s="34"/>
      <c r="I24" s="34"/>
      <c r="J24" s="34"/>
      <c r="K24" s="34"/>
      <c r="L24" s="757"/>
      <c r="M24" s="757"/>
      <c r="N24" s="757"/>
      <c r="O24" s="757"/>
      <c r="P24" s="760"/>
      <c r="Q24" s="48"/>
      <c r="R24" s="48"/>
      <c r="S24" s="48"/>
      <c r="T24" s="48"/>
      <c r="U24" s="48"/>
      <c r="V24" s="48"/>
    </row>
    <row r="25" spans="2:22" s="25" customFormat="1" ht="12.75">
      <c r="C25" s="58"/>
      <c r="D25" s="58"/>
      <c r="E25" s="58"/>
      <c r="F25" s="58"/>
      <c r="G25" s="32"/>
      <c r="H25" s="32"/>
      <c r="I25" s="32"/>
      <c r="J25" s="72"/>
      <c r="K25" s="72"/>
      <c r="Q25" s="48"/>
      <c r="R25" s="48"/>
      <c r="S25" s="48"/>
      <c r="T25" s="48"/>
      <c r="U25" s="48"/>
      <c r="V25" s="48"/>
    </row>
    <row r="26" spans="2:22" s="25" customFormat="1" ht="12.75">
      <c r="B26" s="38" t="s">
        <v>215</v>
      </c>
      <c r="C26" s="39"/>
      <c r="D26" s="39"/>
      <c r="E26" s="39"/>
      <c r="F26" s="39"/>
      <c r="G26" s="39"/>
      <c r="H26" s="157"/>
      <c r="I26" s="39"/>
      <c r="J26" s="651"/>
      <c r="K26" s="651"/>
      <c r="L26" s="651"/>
      <c r="M26" s="39"/>
      <c r="N26" s="39"/>
      <c r="O26" s="39"/>
      <c r="P26" s="41"/>
      <c r="Q26" s="784"/>
      <c r="R26" s="784"/>
      <c r="S26" s="784"/>
      <c r="T26" s="784"/>
      <c r="U26" s="784"/>
      <c r="V26" s="48"/>
    </row>
    <row r="27" spans="2:22" s="25" customFormat="1" ht="12.75">
      <c r="L27" s="332">
        <v>0</v>
      </c>
      <c r="M27" s="332">
        <v>1</v>
      </c>
      <c r="N27" s="332">
        <v>2</v>
      </c>
      <c r="O27" s="332">
        <v>3</v>
      </c>
      <c r="P27" s="332">
        <v>4</v>
      </c>
    </row>
    <row r="28" spans="2:22" s="25" customFormat="1" ht="12.75">
      <c r="B28" s="785"/>
      <c r="C28" s="786"/>
      <c r="D28" s="786"/>
      <c r="E28" s="785" t="s">
        <v>216</v>
      </c>
      <c r="F28" s="354" t="s">
        <v>29</v>
      </c>
      <c r="G28" s="354" t="s">
        <v>30</v>
      </c>
      <c r="H28" s="354" t="s">
        <v>31</v>
      </c>
      <c r="I28" s="354" t="s">
        <v>32</v>
      </c>
      <c r="J28" s="354" t="s">
        <v>33</v>
      </c>
      <c r="K28" s="354"/>
      <c r="L28" s="354" t="s">
        <v>29</v>
      </c>
      <c r="M28" s="354" t="s">
        <v>30</v>
      </c>
      <c r="N28" s="354" t="s">
        <v>31</v>
      </c>
      <c r="O28" s="354" t="s">
        <v>32</v>
      </c>
      <c r="P28" s="337" t="s">
        <v>33</v>
      </c>
    </row>
    <row r="29" spans="2:22" s="25" customFormat="1" ht="12.75">
      <c r="B29" s="43" t="s">
        <v>161</v>
      </c>
      <c r="C29" s="43" t="s">
        <v>162</v>
      </c>
      <c r="D29" s="43"/>
      <c r="E29" s="748" t="s">
        <v>217</v>
      </c>
      <c r="F29" s="67">
        <v>41821</v>
      </c>
      <c r="G29" s="67">
        <v>42186</v>
      </c>
      <c r="H29" s="67">
        <v>42552</v>
      </c>
      <c r="I29" s="67">
        <v>42917</v>
      </c>
      <c r="J29" s="67">
        <v>43282</v>
      </c>
      <c r="K29" s="67"/>
      <c r="L29" s="67">
        <v>41821</v>
      </c>
      <c r="M29" s="67">
        <v>42186</v>
      </c>
      <c r="N29" s="67">
        <v>42552</v>
      </c>
      <c r="O29" s="67">
        <v>42917</v>
      </c>
      <c r="P29" s="68">
        <v>43282</v>
      </c>
    </row>
    <row r="30" spans="2:22" s="25" customFormat="1" ht="12.75">
      <c r="B30" s="499" t="str">
        <f>B9</f>
        <v>START-UP PHASE</v>
      </c>
      <c r="C30" s="524"/>
      <c r="D30" s="524"/>
      <c r="E30" s="524"/>
      <c r="F30" s="524"/>
      <c r="G30" s="524"/>
      <c r="H30" s="160"/>
      <c r="I30" s="530"/>
      <c r="J30" s="530"/>
      <c r="K30" s="530"/>
      <c r="L30" s="524"/>
      <c r="M30" s="524"/>
      <c r="N30" s="524"/>
      <c r="O30" s="524"/>
      <c r="P30" s="529"/>
      <c r="Q30" s="48"/>
      <c r="R30" s="48"/>
    </row>
    <row r="31" spans="2:22" s="25" customFormat="1" ht="12.75">
      <c r="B31" s="47" t="str">
        <f>'App 9_Yr1 Headcount'!C60</f>
        <v>Project Manager</v>
      </c>
      <c r="C31" s="47" t="str">
        <f>'App 9_Yr1 Headcount'!D60</f>
        <v>FT</v>
      </c>
      <c r="D31" s="48" t="str">
        <f t="shared" ref="D31:D33" si="15">CONCATENATE(B31,C31)</f>
        <v>Project ManagerFT</v>
      </c>
      <c r="E31" s="456">
        <f>'App 9_Yr1 Headcount'!H163</f>
        <v>24000</v>
      </c>
      <c r="F31" s="48">
        <f>VLOOKUP(B31,'App 9_Yr1 Headcount'!$C$163:$F$166,4,FALSE)</f>
        <v>1</v>
      </c>
      <c r="G31" s="48"/>
      <c r="H31" s="163"/>
      <c r="I31" s="456"/>
      <c r="J31" s="456"/>
      <c r="K31" s="456"/>
      <c r="L31" s="456">
        <f>'App 9_Yr1 Headcount'!$H60</f>
        <v>24000</v>
      </c>
      <c r="M31" s="48"/>
      <c r="N31" s="48"/>
      <c r="O31" s="48"/>
      <c r="P31" s="372"/>
      <c r="Q31" s="48"/>
      <c r="R31" s="48"/>
    </row>
    <row r="32" spans="2:22" s="25" customFormat="1" ht="12.75">
      <c r="B32" s="47" t="str">
        <f>'App 9_Yr1 Headcount'!C61</f>
        <v>Staff 02</v>
      </c>
      <c r="C32" s="47" t="str">
        <f>'App 9_Yr1 Headcount'!D61</f>
        <v>PT</v>
      </c>
      <c r="D32" s="48" t="str">
        <f t="shared" si="15"/>
        <v>Staff 02PT</v>
      </c>
      <c r="E32" s="456">
        <f>'App 9_Yr1 Headcount'!H164</f>
        <v>4000</v>
      </c>
      <c r="F32" s="48">
        <f>VLOOKUP(B32,'App 9_Yr1 Headcount'!$C$163:$F$166,4,FALSE)</f>
        <v>1</v>
      </c>
      <c r="G32" s="48"/>
      <c r="H32" s="163"/>
      <c r="I32" s="456"/>
      <c r="J32" s="456"/>
      <c r="K32" s="456"/>
      <c r="L32" s="456">
        <f>'App 9_Yr1 Headcount'!$H61</f>
        <v>4000</v>
      </c>
      <c r="M32" s="48"/>
      <c r="N32" s="48"/>
      <c r="O32" s="48"/>
      <c r="P32" s="372"/>
      <c r="Q32" s="48"/>
      <c r="R32" s="48"/>
    </row>
    <row r="33" spans="2:18" s="25" customFormat="1" ht="12.75">
      <c r="B33" s="47" t="str">
        <f>'App 9_Yr1 Headcount'!C62</f>
        <v>Staff 01</v>
      </c>
      <c r="C33" s="47" t="str">
        <f>'App 9_Yr1 Headcount'!D62</f>
        <v>PT</v>
      </c>
      <c r="D33" s="48" t="str">
        <f t="shared" si="15"/>
        <v>Staff 01PT</v>
      </c>
      <c r="E33" s="456">
        <f>'App 9_Yr1 Headcount'!H165</f>
        <v>1500</v>
      </c>
      <c r="F33" s="48">
        <f>VLOOKUP(B33,'App 9_Yr1 Headcount'!$C$163:$F$166,4,FALSE)</f>
        <v>1</v>
      </c>
      <c r="G33" s="48"/>
      <c r="H33" s="163"/>
      <c r="I33" s="456"/>
      <c r="J33" s="456"/>
      <c r="K33" s="456"/>
      <c r="L33" s="456">
        <f>'App 9_Yr1 Headcount'!$H62</f>
        <v>1500</v>
      </c>
      <c r="M33" s="48"/>
      <c r="N33" s="48"/>
      <c r="O33" s="48"/>
      <c r="P33" s="372"/>
      <c r="Q33" s="48"/>
      <c r="R33" s="48"/>
    </row>
    <row r="34" spans="2:18" s="25" customFormat="1" ht="12.75">
      <c r="B34" s="342" t="s">
        <v>220</v>
      </c>
      <c r="C34" s="342"/>
      <c r="D34" s="343"/>
      <c r="E34" s="457"/>
      <c r="F34" s="343">
        <f>SUM(F31:F33)</f>
        <v>3</v>
      </c>
      <c r="G34" s="343">
        <f t="shared" ref="G34:P34" si="16">SUM(G31:G33)</f>
        <v>0</v>
      </c>
      <c r="H34" s="343">
        <f t="shared" si="16"/>
        <v>0</v>
      </c>
      <c r="I34" s="343">
        <f t="shared" si="16"/>
        <v>0</v>
      </c>
      <c r="J34" s="343">
        <f t="shared" si="16"/>
        <v>0</v>
      </c>
      <c r="K34" s="457"/>
      <c r="L34" s="457">
        <f t="shared" si="16"/>
        <v>29500</v>
      </c>
      <c r="M34" s="457">
        <f t="shared" si="16"/>
        <v>0</v>
      </c>
      <c r="N34" s="457">
        <f t="shared" si="16"/>
        <v>0</v>
      </c>
      <c r="O34" s="457">
        <f t="shared" si="16"/>
        <v>0</v>
      </c>
      <c r="P34" s="584">
        <f t="shared" si="16"/>
        <v>0</v>
      </c>
    </row>
    <row r="35" spans="2:18" s="25" customFormat="1" ht="12.75">
      <c r="B35" s="48"/>
      <c r="C35" s="48"/>
      <c r="D35" s="48"/>
      <c r="E35" s="48"/>
      <c r="F35" s="48"/>
      <c r="G35" s="48"/>
      <c r="H35" s="163"/>
      <c r="I35" s="456"/>
      <c r="J35" s="456"/>
      <c r="K35" s="456"/>
      <c r="L35" s="48"/>
      <c r="M35" s="48"/>
      <c r="N35" s="48"/>
      <c r="O35" s="48"/>
      <c r="P35" s="48"/>
      <c r="Q35" s="48"/>
      <c r="R35" s="48"/>
    </row>
    <row r="36" spans="2:18" s="25" customFormat="1" ht="12.75">
      <c r="B36" s="499" t="s">
        <v>166</v>
      </c>
      <c r="C36" s="524"/>
      <c r="D36" s="524" t="str">
        <f>CONCATENATE(B36,C36)</f>
        <v>Management</v>
      </c>
      <c r="E36" s="524"/>
      <c r="F36" s="524"/>
      <c r="G36" s="524"/>
      <c r="H36" s="160"/>
      <c r="I36" s="530"/>
      <c r="J36" s="530"/>
      <c r="K36" s="530"/>
      <c r="L36" s="524"/>
      <c r="M36" s="524"/>
      <c r="N36" s="524"/>
      <c r="O36" s="524"/>
      <c r="P36" s="529"/>
    </row>
    <row r="37" spans="2:18" s="25" customFormat="1" ht="12.75">
      <c r="B37" s="587" t="str">
        <f>'App 9_Yr1 Headcount'!C35</f>
        <v>President</v>
      </c>
      <c r="C37" s="587" t="str">
        <f>'App 9_Yr1 Headcount'!D35</f>
        <v>FT</v>
      </c>
      <c r="D37" s="587" t="str">
        <f>'App 9_Yr1 Headcount'!E35</f>
        <v>PresidentFT</v>
      </c>
      <c r="E37" s="654">
        <f>VLOOKUP(D37,'App 9_Yr1 Headcount'!$E$35:$G$50,3,FALSE)</f>
        <v>91000</v>
      </c>
      <c r="F37" s="455">
        <f>VLOOKUP(B37,'App 9_Yr1 Headcount'!$C$171:$F$258,4,FALSE)</f>
        <v>1</v>
      </c>
      <c r="G37" s="455">
        <f>F37</f>
        <v>1</v>
      </c>
      <c r="H37" s="455">
        <f t="shared" ref="H37:J37" si="17">G37</f>
        <v>1</v>
      </c>
      <c r="I37" s="455">
        <f t="shared" si="17"/>
        <v>1</v>
      </c>
      <c r="J37" s="455">
        <f t="shared" si="17"/>
        <v>1</v>
      </c>
      <c r="K37" s="655"/>
      <c r="L37" s="617">
        <f>VLOOKUP(B37,'App 9_Yr1 Headcount'!$C$163:$H$264,6,FALSE)</f>
        <v>91000</v>
      </c>
      <c r="M37" s="617">
        <f>G37*$E37*((1+'App 9_Yr1 Headcount'!$F$55)^'App 8_5Yr Headcount'!M$27)</f>
        <v>93730</v>
      </c>
      <c r="N37" s="617">
        <f>H37*$E37*((1+'App 9_Yr1 Headcount'!$F$55)^'App 8_5Yr Headcount'!N$27)</f>
        <v>96541.9</v>
      </c>
      <c r="O37" s="617">
        <f>I37*$E37*((1+'App 9_Yr1 Headcount'!$F$55)^'App 8_5Yr Headcount'!O$27)</f>
        <v>99438.157000000007</v>
      </c>
      <c r="P37" s="744">
        <f>J37*$E37*((1+'App 9_Yr1 Headcount'!$F$55)^'App 8_5Yr Headcount'!P$27)</f>
        <v>102421.30170999999</v>
      </c>
    </row>
    <row r="38" spans="2:18" s="25" customFormat="1" ht="12.75">
      <c r="B38" s="339" t="str">
        <f>'App 9_Yr1 Headcount'!C36</f>
        <v>Vice President</v>
      </c>
      <c r="C38" s="339" t="str">
        <f>'App 9_Yr1 Headcount'!D36</f>
        <v>FT</v>
      </c>
      <c r="D38" s="339" t="str">
        <f>'App 9_Yr1 Headcount'!E36</f>
        <v>Vice PresidentFT</v>
      </c>
      <c r="E38" s="541">
        <f>VLOOKUP(D38,'App 9_Yr1 Headcount'!$E$35:$G$50,3,FALSE)</f>
        <v>65000</v>
      </c>
      <c r="F38" s="48">
        <f>VLOOKUP(B38,'App 9_Yr1 Headcount'!$C$171:$F$258,4,FALSE)</f>
        <v>1</v>
      </c>
      <c r="G38" s="48">
        <f t="shared" ref="G38:J38" si="18">F38</f>
        <v>1</v>
      </c>
      <c r="H38" s="48">
        <f t="shared" si="18"/>
        <v>1</v>
      </c>
      <c r="I38" s="48">
        <f t="shared" si="18"/>
        <v>1</v>
      </c>
      <c r="J38" s="48">
        <f t="shared" si="18"/>
        <v>1</v>
      </c>
      <c r="K38" s="456"/>
      <c r="L38" s="340">
        <f>VLOOKUP(B38,'App 9_Yr1 Headcount'!$C$163:$H$264,6,FALSE)</f>
        <v>65000</v>
      </c>
      <c r="M38" s="340">
        <f>G38*$E38*((1+'App 9_Yr1 Headcount'!$F$55)^'App 8_5Yr Headcount'!M$27)</f>
        <v>66950</v>
      </c>
      <c r="N38" s="340">
        <f>H38*$E38*((1+'App 9_Yr1 Headcount'!$F$55)^'App 8_5Yr Headcount'!N$27)</f>
        <v>68958.5</v>
      </c>
      <c r="O38" s="340">
        <f>I38*$E38*((1+'App 9_Yr1 Headcount'!$F$55)^'App 8_5Yr Headcount'!O$27)</f>
        <v>71027.255000000005</v>
      </c>
      <c r="P38" s="745">
        <f>J38*$E38*((1+'App 9_Yr1 Headcount'!$F$55)^'App 8_5Yr Headcount'!P$27)</f>
        <v>73158.072649999987</v>
      </c>
    </row>
    <row r="39" spans="2:18" s="25" customFormat="1" ht="12.75">
      <c r="B39" s="339"/>
      <c r="C39" s="339"/>
      <c r="D39" s="48"/>
      <c r="E39" s="787"/>
      <c r="F39" s="61"/>
      <c r="G39" s="61"/>
      <c r="H39" s="61"/>
      <c r="I39" s="61"/>
      <c r="J39" s="61"/>
      <c r="K39" s="551"/>
      <c r="L39" s="735"/>
      <c r="M39" s="735"/>
      <c r="N39" s="735"/>
      <c r="O39" s="735"/>
      <c r="P39" s="746"/>
    </row>
    <row r="40" spans="2:18" s="25" customFormat="1" ht="12.75">
      <c r="B40" s="342" t="s">
        <v>221</v>
      </c>
      <c r="C40" s="342"/>
      <c r="D40" s="343"/>
      <c r="E40" s="457"/>
      <c r="F40" s="343">
        <f>SUM(F37:F39)</f>
        <v>2</v>
      </c>
      <c r="G40" s="343">
        <f>SUM(G37:G39)</f>
        <v>2</v>
      </c>
      <c r="H40" s="343">
        <f>SUM(H37:H39)</f>
        <v>2</v>
      </c>
      <c r="I40" s="343">
        <f>SUM(I37:I39)</f>
        <v>2</v>
      </c>
      <c r="J40" s="343">
        <f>SUM(J37:J39)</f>
        <v>2</v>
      </c>
      <c r="K40" s="457"/>
      <c r="L40" s="457">
        <f>SUM(L37:L39)</f>
        <v>156000</v>
      </c>
      <c r="M40" s="457">
        <f>SUM(M37:M39)</f>
        <v>160680</v>
      </c>
      <c r="N40" s="457">
        <f>SUM(N37:N39)</f>
        <v>165500.4</v>
      </c>
      <c r="O40" s="457">
        <f>SUM(O37:O39)</f>
        <v>170465.41200000001</v>
      </c>
      <c r="P40" s="584">
        <f>SUM(P37:P39)</f>
        <v>175579.37435999996</v>
      </c>
    </row>
    <row r="41" spans="2:18" s="25" customFormat="1" ht="12.75"/>
    <row r="42" spans="2:18" s="25" customFormat="1" ht="12.75">
      <c r="B42" s="499" t="s">
        <v>173</v>
      </c>
      <c r="C42" s="524"/>
      <c r="D42" s="524"/>
      <c r="E42" s="524"/>
      <c r="F42" s="524"/>
      <c r="G42" s="524"/>
      <c r="H42" s="160"/>
      <c r="I42" s="530"/>
      <c r="J42" s="530"/>
      <c r="K42" s="530"/>
      <c r="L42" s="524"/>
      <c r="M42" s="524"/>
      <c r="N42" s="524"/>
      <c r="O42" s="524"/>
      <c r="P42" s="529"/>
    </row>
    <row r="43" spans="2:18" s="25" customFormat="1" ht="12.75">
      <c r="B43" s="339" t="str">
        <f>'App 9_Yr1 Headcount'!C178</f>
        <v>Financial Controller</v>
      </c>
      <c r="C43" s="339" t="str">
        <f>'App 9_Yr1 Headcount'!D178</f>
        <v>FT</v>
      </c>
      <c r="D43" s="48" t="str">
        <f t="shared" ref="D43:D44" si="19">CONCATENATE(B43,C43)</f>
        <v>Financial ControllerFT</v>
      </c>
      <c r="E43" s="654">
        <f>VLOOKUP(D43,'App 9_Yr1 Headcount'!$E$35:$G$50,3,FALSE)</f>
        <v>18750</v>
      </c>
      <c r="F43" s="455">
        <f>VLOOKUP(B43,'App 9_Yr1 Headcount'!$C$171:$F$258,4,FALSE)</f>
        <v>1</v>
      </c>
      <c r="G43" s="455">
        <f>F43</f>
        <v>1</v>
      </c>
      <c r="H43" s="455">
        <f t="shared" ref="H43:J43" si="20">G43</f>
        <v>1</v>
      </c>
      <c r="I43" s="455">
        <f t="shared" si="20"/>
        <v>1</v>
      </c>
      <c r="J43" s="455">
        <f t="shared" si="20"/>
        <v>1</v>
      </c>
      <c r="K43" s="655"/>
      <c r="L43" s="340">
        <f>'App 9_Yr1 Headcount'!$H75</f>
        <v>18750</v>
      </c>
      <c r="M43" s="655">
        <f>G43*$E43*((1+'App 9_Yr1 Headcount'!$F$55)^'App 8_5Yr Headcount'!M$27)</f>
        <v>19312.5</v>
      </c>
      <c r="N43" s="655">
        <f>H43*$E43*((1+'App 9_Yr1 Headcount'!$F$55)^'App 8_5Yr Headcount'!N$27)</f>
        <v>19891.875</v>
      </c>
      <c r="O43" s="655">
        <f>I43*$E43*((1+'App 9_Yr1 Headcount'!$F$55)^'App 8_5Yr Headcount'!O$27)</f>
        <v>20488.631249999999</v>
      </c>
      <c r="P43" s="656">
        <f>J43*$E43*((1+'App 9_Yr1 Headcount'!$F$55)^'App 8_5Yr Headcount'!P$27)</f>
        <v>21103.290187499999</v>
      </c>
    </row>
    <row r="44" spans="2:18" s="25" customFormat="1" ht="12.75">
      <c r="B44" s="339" t="str">
        <f>'App 9_Yr1 Headcount'!C179</f>
        <v>Associate</v>
      </c>
      <c r="C44" s="339" t="str">
        <f>'App 9_Yr1 Headcount'!D179</f>
        <v>FT</v>
      </c>
      <c r="D44" s="48" t="str">
        <f t="shared" si="19"/>
        <v>AssociateFT</v>
      </c>
      <c r="E44" s="787">
        <f>VLOOKUP(D44,'App 9_Yr1 Headcount'!$E$35:$G$50,3,FALSE)</f>
        <v>3750</v>
      </c>
      <c r="F44" s="61">
        <f>VLOOKUP(B44,'App 9_Yr1 Headcount'!$C$182:$F$183,4,FALSE)</f>
        <v>0</v>
      </c>
      <c r="G44" s="766">
        <v>1</v>
      </c>
      <c r="H44" s="766">
        <v>2</v>
      </c>
      <c r="I44" s="766">
        <v>2</v>
      </c>
      <c r="J44" s="766">
        <v>2</v>
      </c>
      <c r="K44" s="551"/>
      <c r="L44" s="340">
        <f>'App 9_Yr1 Headcount'!$H76</f>
        <v>2812.5</v>
      </c>
      <c r="M44" s="551">
        <f>G44*$E44*((1+'App 9_Yr1 Headcount'!$F$55)^'App 8_5Yr Headcount'!M$27)</f>
        <v>3862.5</v>
      </c>
      <c r="N44" s="551">
        <f>H44*$E44*((1+'App 9_Yr1 Headcount'!$F$55)^'App 8_5Yr Headcount'!N$27)</f>
        <v>7956.75</v>
      </c>
      <c r="O44" s="551">
        <f>I44*$E44*((1+'App 9_Yr1 Headcount'!$F$55)^'App 8_5Yr Headcount'!O$27)</f>
        <v>8195.4524999999994</v>
      </c>
      <c r="P44" s="581">
        <f>J44*$E44*((1+'App 9_Yr1 Headcount'!$F$55)^'App 8_5Yr Headcount'!P$27)</f>
        <v>8441.3160749999988</v>
      </c>
    </row>
    <row r="45" spans="2:18" s="25" customFormat="1" ht="12.75">
      <c r="B45" s="342" t="s">
        <v>222</v>
      </c>
      <c r="C45" s="342"/>
      <c r="D45" s="343"/>
      <c r="E45" s="457"/>
      <c r="F45" s="343">
        <f>SUM(F43:F44)</f>
        <v>1</v>
      </c>
      <c r="G45" s="343">
        <f>SUM(G43:G44)</f>
        <v>2</v>
      </c>
      <c r="H45" s="343">
        <f>SUM(H43:H44)</f>
        <v>3</v>
      </c>
      <c r="I45" s="343">
        <f>SUM(I43:I44)</f>
        <v>3</v>
      </c>
      <c r="J45" s="343">
        <f>SUM(J43:J44)</f>
        <v>3</v>
      </c>
      <c r="K45" s="457"/>
      <c r="L45" s="457">
        <f>SUM(L43:L44)</f>
        <v>21562.5</v>
      </c>
      <c r="M45" s="457">
        <f>SUM(M43:M44)</f>
        <v>23175</v>
      </c>
      <c r="N45" s="457">
        <f>SUM(N43:N44)</f>
        <v>27848.625</v>
      </c>
      <c r="O45" s="457">
        <f>SUM(O43:O44)</f>
        <v>28684.083749999998</v>
      </c>
      <c r="P45" s="584">
        <f>SUM(P43:P44)</f>
        <v>29544.606262499998</v>
      </c>
    </row>
    <row r="46" spans="2:18" s="25" customFormat="1" ht="12.75"/>
    <row r="47" spans="2:18" s="25" customFormat="1" ht="12.75">
      <c r="B47" s="499" t="s">
        <v>223</v>
      </c>
      <c r="C47" s="524"/>
      <c r="D47" s="524"/>
      <c r="E47" s="524"/>
      <c r="F47" s="524"/>
      <c r="G47" s="524"/>
      <c r="H47" s="160"/>
      <c r="I47" s="530"/>
      <c r="J47" s="530"/>
      <c r="K47" s="530"/>
      <c r="L47" s="524"/>
      <c r="M47" s="524"/>
      <c r="N47" s="524"/>
      <c r="O47" s="524"/>
      <c r="P47" s="529"/>
    </row>
    <row r="48" spans="2:18" s="25" customFormat="1" ht="12.75">
      <c r="B48" s="339" t="str">
        <f>'App 9_Yr1 Headcount'!C182</f>
        <v>Human Resource Manager</v>
      </c>
      <c r="C48" s="339" t="str">
        <f>'App 9_Yr1 Headcount'!D182</f>
        <v>FT</v>
      </c>
      <c r="D48" s="48" t="str">
        <f t="shared" ref="D48:D49" si="21">CONCATENATE(B48,C48)</f>
        <v>Human Resource ManagerFT</v>
      </c>
      <c r="E48" s="456">
        <f>VLOOKUP(D48,'App 9_Yr1 Headcount'!$E$35:$G$50,3,FALSE)</f>
        <v>18750</v>
      </c>
      <c r="F48" s="48">
        <f>VLOOKUP(B48,'App 9_Yr1 Headcount'!$C$171:$F$258,4,FALSE)</f>
        <v>1</v>
      </c>
      <c r="G48" s="455">
        <f>F48</f>
        <v>1</v>
      </c>
      <c r="H48" s="455">
        <f t="shared" ref="H48:J48" si="22">G48</f>
        <v>1</v>
      </c>
      <c r="I48" s="455">
        <f t="shared" si="22"/>
        <v>1</v>
      </c>
      <c r="J48" s="455">
        <f t="shared" si="22"/>
        <v>1</v>
      </c>
      <c r="K48" s="456"/>
      <c r="L48" s="340">
        <f>'App 9_Yr1 Headcount'!$H79</f>
        <v>18750</v>
      </c>
      <c r="M48" s="456">
        <f>G48*$E48*((1+'App 9_Yr1 Headcount'!$F$55)^'App 8_5Yr Headcount'!M$27)</f>
        <v>19312.5</v>
      </c>
      <c r="N48" s="456">
        <f>H48*$E48*((1+'App 9_Yr1 Headcount'!$F$55)^'App 8_5Yr Headcount'!N$27)</f>
        <v>19891.875</v>
      </c>
      <c r="O48" s="456">
        <f>I48*$E48*((1+'App 9_Yr1 Headcount'!$F$55)^'App 8_5Yr Headcount'!O$27)</f>
        <v>20488.631249999999</v>
      </c>
      <c r="P48" s="576">
        <f>J48*$E48*((1+'App 9_Yr1 Headcount'!$F$55)^'App 8_5Yr Headcount'!P$27)</f>
        <v>21103.290187499999</v>
      </c>
    </row>
    <row r="49" spans="2:16" s="25" customFormat="1" ht="12.75">
      <c r="B49" s="339" t="str">
        <f>'App 9_Yr1 Headcount'!C183</f>
        <v>Associate</v>
      </c>
      <c r="C49" s="339" t="str">
        <f>'App 9_Yr1 Headcount'!D183</f>
        <v>FT</v>
      </c>
      <c r="D49" s="48" t="str">
        <f t="shared" si="21"/>
        <v>AssociateFT</v>
      </c>
      <c r="E49" s="456">
        <f>VLOOKUP(D49,'App 9_Yr1 Headcount'!$E$35:$G$50,3,FALSE)</f>
        <v>3750</v>
      </c>
      <c r="F49" s="48">
        <f>VLOOKUP(B49,'App 9_Yr1 Headcount'!$C$171:$F$258,4,FALSE)</f>
        <v>1</v>
      </c>
      <c r="G49" s="766">
        <v>1</v>
      </c>
      <c r="H49" s="766">
        <v>2</v>
      </c>
      <c r="I49" s="766">
        <v>2</v>
      </c>
      <c r="J49" s="766">
        <v>2</v>
      </c>
      <c r="K49" s="456"/>
      <c r="L49" s="340">
        <f>'App 9_Yr1 Headcount'!$H80</f>
        <v>0</v>
      </c>
      <c r="M49" s="456">
        <f>G49*$E49*((1+'App 9_Yr1 Headcount'!$F$55)^'App 8_5Yr Headcount'!M$27)</f>
        <v>3862.5</v>
      </c>
      <c r="N49" s="456">
        <f>H49*$E49*((1+'App 9_Yr1 Headcount'!$F$55)^'App 8_5Yr Headcount'!N$27)</f>
        <v>7956.75</v>
      </c>
      <c r="O49" s="456">
        <f>I49*$E49*((1+'App 9_Yr1 Headcount'!$F$55)^'App 8_5Yr Headcount'!O$27)</f>
        <v>8195.4524999999994</v>
      </c>
      <c r="P49" s="576">
        <f>J49*$E49*((1+'App 9_Yr1 Headcount'!$F$55)^'App 8_5Yr Headcount'!P$27)</f>
        <v>8441.3160749999988</v>
      </c>
    </row>
    <row r="50" spans="2:16" s="25" customFormat="1" ht="12.75">
      <c r="B50" s="342" t="s">
        <v>224</v>
      </c>
      <c r="C50" s="342"/>
      <c r="D50" s="343"/>
      <c r="E50" s="457"/>
      <c r="F50" s="343">
        <f>SUM(F48:F49)</f>
        <v>2</v>
      </c>
      <c r="G50" s="343">
        <f>SUM(G48:G49)</f>
        <v>2</v>
      </c>
      <c r="H50" s="343">
        <f t="shared" ref="H50:J50" si="23">SUM(H48:H49)</f>
        <v>3</v>
      </c>
      <c r="I50" s="343">
        <f t="shared" si="23"/>
        <v>3</v>
      </c>
      <c r="J50" s="343">
        <f t="shared" si="23"/>
        <v>3</v>
      </c>
      <c r="K50" s="457"/>
      <c r="L50" s="457">
        <f>SUM(L48:L49)</f>
        <v>18750</v>
      </c>
      <c r="M50" s="457">
        <f t="shared" ref="M50:P50" si="24">SUM(M48:M49)</f>
        <v>23175</v>
      </c>
      <c r="N50" s="457">
        <f t="shared" si="24"/>
        <v>27848.625</v>
      </c>
      <c r="O50" s="457">
        <f t="shared" si="24"/>
        <v>28684.083749999998</v>
      </c>
      <c r="P50" s="584">
        <f t="shared" si="24"/>
        <v>29544.606262499998</v>
      </c>
    </row>
    <row r="51" spans="2:16" s="25" customFormat="1" ht="12.75"/>
    <row r="52" spans="2:16" s="25" customFormat="1" ht="12.75">
      <c r="B52" s="499" t="s">
        <v>19</v>
      </c>
      <c r="C52" s="524"/>
      <c r="D52" s="524"/>
      <c r="E52" s="524"/>
      <c r="F52" s="524"/>
      <c r="G52" s="524"/>
      <c r="H52" s="524"/>
      <c r="I52" s="524"/>
      <c r="J52" s="524"/>
      <c r="K52" s="530"/>
      <c r="L52" s="524"/>
      <c r="M52" s="524"/>
      <c r="N52" s="524"/>
      <c r="O52" s="524"/>
      <c r="P52" s="529"/>
    </row>
    <row r="53" spans="2:16" s="25" customFormat="1" ht="12.75">
      <c r="B53" s="339" t="str">
        <f>'App 9_Yr1 Headcount'!C189</f>
        <v>Department Head</v>
      </c>
      <c r="C53" s="339" t="str">
        <f>'App 9_Yr1 Headcount'!D189</f>
        <v>FT</v>
      </c>
      <c r="D53" s="48" t="str">
        <f t="shared" ref="D53:D56" si="25">CONCATENATE(B53,C53)</f>
        <v>Department HeadFT</v>
      </c>
      <c r="E53" s="456">
        <f>VLOOKUP(D53,'App 9_Yr1 Headcount'!$E$35:$G$50,3,FALSE)</f>
        <v>37500</v>
      </c>
      <c r="F53" s="48">
        <f>VLOOKUP(B53,'App 9_Yr1 Headcount'!$C$171:$F$258,4,FALSE)</f>
        <v>1</v>
      </c>
      <c r="G53" s="48">
        <f t="shared" ref="G53:J56" si="26">F53</f>
        <v>1</v>
      </c>
      <c r="H53" s="48">
        <f t="shared" si="26"/>
        <v>1</v>
      </c>
      <c r="I53" s="48">
        <f t="shared" si="26"/>
        <v>1</v>
      </c>
      <c r="J53" s="48">
        <f t="shared" si="26"/>
        <v>1</v>
      </c>
      <c r="K53" s="456"/>
      <c r="L53" s="456">
        <f>'App 9_Yr1 Headcount'!$H86</f>
        <v>37500</v>
      </c>
      <c r="M53" s="456">
        <f>G53*$E53*((1+'App 9_Yr1 Headcount'!$F$55)^'App 8_5Yr Headcount'!M$27)</f>
        <v>38625</v>
      </c>
      <c r="N53" s="456">
        <f>H53*$E53*((1+'App 9_Yr1 Headcount'!$F$55)^'App 8_5Yr Headcount'!N$27)</f>
        <v>39783.75</v>
      </c>
      <c r="O53" s="456">
        <f>I53*$E53*((1+'App 9_Yr1 Headcount'!$F$55)^'App 8_5Yr Headcount'!O$27)</f>
        <v>40977.262499999997</v>
      </c>
      <c r="P53" s="576">
        <f>J53*$E53*((1+'App 9_Yr1 Headcount'!$F$55)^'App 8_5Yr Headcount'!P$27)</f>
        <v>42206.580374999998</v>
      </c>
    </row>
    <row r="54" spans="2:16" s="25" customFormat="1" ht="12.75">
      <c r="B54" s="339" t="str">
        <f>'App 9_Yr1 Headcount'!C190</f>
        <v>Doctors</v>
      </c>
      <c r="C54" s="339" t="str">
        <f>'App 9_Yr1 Headcount'!D190</f>
        <v>FT</v>
      </c>
      <c r="D54" s="48" t="str">
        <f t="shared" si="25"/>
        <v>DoctorsFT</v>
      </c>
      <c r="E54" s="456">
        <f>VLOOKUP(D54,'App 9_Yr1 Headcount'!$E$35:$G$50,3,FALSE)</f>
        <v>31250</v>
      </c>
      <c r="F54" s="48">
        <f>VLOOKUP(B54,'App 9_Yr1 Headcount'!$C$171:$F$258,4,FALSE)</f>
        <v>2</v>
      </c>
      <c r="G54" s="559">
        <f t="shared" si="26"/>
        <v>2</v>
      </c>
      <c r="H54" s="559">
        <f t="shared" si="26"/>
        <v>2</v>
      </c>
      <c r="I54" s="559">
        <f t="shared" si="26"/>
        <v>2</v>
      </c>
      <c r="J54" s="559">
        <f t="shared" si="26"/>
        <v>2</v>
      </c>
      <c r="K54" s="456"/>
      <c r="L54" s="456">
        <f>'App 9_Yr1 Headcount'!$H87</f>
        <v>62500.000000000007</v>
      </c>
      <c r="M54" s="456">
        <f>G54*$E54*((1+'App 9_Yr1 Headcount'!$F$55)^'App 8_5Yr Headcount'!M$27)</f>
        <v>64375</v>
      </c>
      <c r="N54" s="456">
        <f>H54*$E54*((1+'App 9_Yr1 Headcount'!$F$55)^'App 8_5Yr Headcount'!N$27)</f>
        <v>66306.25</v>
      </c>
      <c r="O54" s="456">
        <f>I54*$E54*((1+'App 9_Yr1 Headcount'!$F$55)^'App 8_5Yr Headcount'!O$27)</f>
        <v>68295.4375</v>
      </c>
      <c r="P54" s="576">
        <f>J54*$E54*((1+'App 9_Yr1 Headcount'!$F$55)^'App 8_5Yr Headcount'!P$27)</f>
        <v>70344.300624999989</v>
      </c>
    </row>
    <row r="55" spans="2:16" s="25" customFormat="1" ht="12.75">
      <c r="B55" s="339" t="str">
        <f>'App 9_Yr1 Headcount'!C191</f>
        <v>Doctors</v>
      </c>
      <c r="C55" s="339" t="str">
        <f>'App 9_Yr1 Headcount'!D191</f>
        <v>PT</v>
      </c>
      <c r="D55" s="48" t="str">
        <f t="shared" si="25"/>
        <v>DoctorsPT</v>
      </c>
      <c r="E55" s="456">
        <f>VLOOKUP(D55,'App 9_Yr1 Headcount'!$E$35:$G$50,3,FALSE)</f>
        <v>15000</v>
      </c>
      <c r="F55" s="48">
        <f>VLOOKUP(B55,'App 9_Yr1 Headcount'!$C$171:$F$258,4,FALSE)</f>
        <v>2</v>
      </c>
      <c r="G55" s="559">
        <f t="shared" si="26"/>
        <v>2</v>
      </c>
      <c r="H55" s="559">
        <f t="shared" si="26"/>
        <v>2</v>
      </c>
      <c r="I55" s="559">
        <f t="shared" si="26"/>
        <v>2</v>
      </c>
      <c r="J55" s="559">
        <f t="shared" si="26"/>
        <v>2</v>
      </c>
      <c r="K55" s="456"/>
      <c r="L55" s="456">
        <f>'App 9_Yr1 Headcount'!$H88</f>
        <v>30000</v>
      </c>
      <c r="M55" s="456">
        <f>G55*$E55*((1+'App 9_Yr1 Headcount'!$F$55)^'App 8_5Yr Headcount'!M$27)</f>
        <v>30900</v>
      </c>
      <c r="N55" s="456">
        <f>H55*$E55*((1+'App 9_Yr1 Headcount'!$F$55)^'App 8_5Yr Headcount'!N$27)</f>
        <v>31827</v>
      </c>
      <c r="O55" s="456">
        <f>I55*$E55*((1+'App 9_Yr1 Headcount'!$F$55)^'App 8_5Yr Headcount'!O$27)</f>
        <v>32781.81</v>
      </c>
      <c r="P55" s="576">
        <f>J55*$E55*((1+'App 9_Yr1 Headcount'!$F$55)^'App 8_5Yr Headcount'!P$27)</f>
        <v>33765.264299999995</v>
      </c>
    </row>
    <row r="56" spans="2:16" s="25" customFormat="1" ht="12.75">
      <c r="B56" s="339" t="str">
        <f>'App 9_Yr1 Headcount'!C192</f>
        <v>Nurses</v>
      </c>
      <c r="C56" s="339" t="str">
        <f>'App 9_Yr1 Headcount'!D192</f>
        <v>FT</v>
      </c>
      <c r="D56" s="48" t="str">
        <f t="shared" si="25"/>
        <v>NursesFT</v>
      </c>
      <c r="E56" s="456">
        <f>VLOOKUP(D56,'App 9_Yr1 Headcount'!$E$35:$G$50,3,FALSE)</f>
        <v>3750</v>
      </c>
      <c r="F56" s="48">
        <f>VLOOKUP(B56,'App 9_Yr1 Headcount'!$C$171:$F$258,4,FALSE)</f>
        <v>4</v>
      </c>
      <c r="G56" s="559">
        <f t="shared" si="26"/>
        <v>4</v>
      </c>
      <c r="H56" s="559">
        <f t="shared" si="26"/>
        <v>4</v>
      </c>
      <c r="I56" s="559">
        <f t="shared" si="26"/>
        <v>4</v>
      </c>
      <c r="J56" s="559">
        <f t="shared" si="26"/>
        <v>4</v>
      </c>
      <c r="K56" s="456"/>
      <c r="L56" s="456">
        <f>'App 9_Yr1 Headcount'!$H89</f>
        <v>15000</v>
      </c>
      <c r="M56" s="456">
        <f>G56*$E56*((1+'App 9_Yr1 Headcount'!$F$55)^'App 8_5Yr Headcount'!M$27)</f>
        <v>15450</v>
      </c>
      <c r="N56" s="456">
        <f>H56*$E56*((1+'App 9_Yr1 Headcount'!$F$55)^'App 8_5Yr Headcount'!N$27)</f>
        <v>15913.5</v>
      </c>
      <c r="O56" s="456">
        <f>I56*$E56*((1+'App 9_Yr1 Headcount'!$F$55)^'App 8_5Yr Headcount'!O$27)</f>
        <v>16390.904999999999</v>
      </c>
      <c r="P56" s="576">
        <f>J56*$E56*((1+'App 9_Yr1 Headcount'!$F$55)^'App 8_5Yr Headcount'!P$27)</f>
        <v>16882.632149999998</v>
      </c>
    </row>
    <row r="57" spans="2:16" s="25" customFormat="1" ht="12.75">
      <c r="B57" s="342" t="s">
        <v>225</v>
      </c>
      <c r="C57" s="342"/>
      <c r="D57" s="343"/>
      <c r="E57" s="457"/>
      <c r="F57" s="343">
        <f>SUM(F53:F56)</f>
        <v>9</v>
      </c>
      <c r="G57" s="343">
        <f>SUM(G53:G56)</f>
        <v>9</v>
      </c>
      <c r="H57" s="343">
        <f t="shared" ref="H57:J57" si="27">SUM(H53:H56)</f>
        <v>9</v>
      </c>
      <c r="I57" s="343">
        <f t="shared" si="27"/>
        <v>9</v>
      </c>
      <c r="J57" s="343">
        <f t="shared" si="27"/>
        <v>9</v>
      </c>
      <c r="K57" s="457"/>
      <c r="L57" s="457">
        <f>SUM(L53:L56)</f>
        <v>145000</v>
      </c>
      <c r="M57" s="457">
        <f t="shared" ref="M57:P57" si="28">SUM(M53:M56)</f>
        <v>149350</v>
      </c>
      <c r="N57" s="457">
        <f t="shared" si="28"/>
        <v>153830.5</v>
      </c>
      <c r="O57" s="457">
        <f t="shared" si="28"/>
        <v>158445.41500000001</v>
      </c>
      <c r="P57" s="584">
        <f t="shared" si="28"/>
        <v>163198.77744999997</v>
      </c>
    </row>
    <row r="58" spans="2:16" s="25" customFormat="1" ht="12.75"/>
    <row r="59" spans="2:16" s="25" customFormat="1" ht="12.75">
      <c r="B59" s="499" t="s">
        <v>226</v>
      </c>
      <c r="C59" s="524"/>
      <c r="D59" s="524"/>
      <c r="E59" s="524"/>
      <c r="F59" s="524"/>
      <c r="G59" s="524"/>
      <c r="H59" s="524"/>
      <c r="I59" s="524"/>
      <c r="J59" s="524"/>
      <c r="K59" s="530"/>
      <c r="L59" s="524"/>
      <c r="M59" s="524"/>
      <c r="N59" s="524"/>
      <c r="O59" s="524"/>
      <c r="P59" s="529"/>
    </row>
    <row r="60" spans="2:16" s="25" customFormat="1" ht="12.75">
      <c r="B60" s="339" t="str">
        <f>'App 9_Yr1 Headcount'!C195</f>
        <v>Department Head</v>
      </c>
      <c r="C60" s="339" t="str">
        <f>'App 9_Yr1 Headcount'!D195</f>
        <v>FT</v>
      </c>
      <c r="D60" s="48" t="str">
        <f>CONCATENATE(B60,C60)</f>
        <v>Department HeadFT</v>
      </c>
      <c r="E60" s="456">
        <f>VLOOKUP(D60,'App 9_Yr1 Headcount'!$E$35:$G$50,3,FALSE)</f>
        <v>37500</v>
      </c>
      <c r="F60" s="48">
        <f>VLOOKUP(D60,'App 9_Yr1 Headcount'!$E$195:$F$202,2,FALSE)</f>
        <v>1</v>
      </c>
      <c r="G60" s="48">
        <f t="shared" ref="G60:J65" si="29">F60</f>
        <v>1</v>
      </c>
      <c r="H60" s="48">
        <f t="shared" si="29"/>
        <v>1</v>
      </c>
      <c r="I60" s="48">
        <f t="shared" si="29"/>
        <v>1</v>
      </c>
      <c r="J60" s="48">
        <f t="shared" si="29"/>
        <v>1</v>
      </c>
      <c r="K60" s="456"/>
      <c r="L60" s="456">
        <f>'App 9_Yr1 Headcount'!$H92</f>
        <v>37500</v>
      </c>
      <c r="M60" s="456">
        <f>G60*$E60*((1+'App 9_Yr1 Headcount'!$F$55)^'App 8_5Yr Headcount'!M$27)</f>
        <v>38625</v>
      </c>
      <c r="N60" s="456">
        <f>H60*$E60*((1+'App 9_Yr1 Headcount'!$F$55)^'App 8_5Yr Headcount'!N$27)</f>
        <v>39783.75</v>
      </c>
      <c r="O60" s="456">
        <f>I60*$E60*((1+'App 9_Yr1 Headcount'!$F$55)^'App 8_5Yr Headcount'!O$27)</f>
        <v>40977.262499999997</v>
      </c>
      <c r="P60" s="576">
        <f>J60*$E60*((1+'App 9_Yr1 Headcount'!$F$55)^'App 8_5Yr Headcount'!P$27)</f>
        <v>42206.580374999998</v>
      </c>
    </row>
    <row r="61" spans="2:16" s="25" customFormat="1" ht="12.75">
      <c r="B61" s="339" t="str">
        <f>'App 9_Yr1 Headcount'!C196</f>
        <v>Doctors</v>
      </c>
      <c r="C61" s="339" t="str">
        <f>'App 9_Yr1 Headcount'!D196</f>
        <v>FT</v>
      </c>
      <c r="D61" s="48" t="str">
        <f t="shared" ref="D61:D67" si="30">CONCATENATE(B61,C61)</f>
        <v>DoctorsFT</v>
      </c>
      <c r="E61" s="456">
        <f>VLOOKUP(D61,'App 9_Yr1 Headcount'!$E$35:$G$50,3,FALSE)</f>
        <v>31250</v>
      </c>
      <c r="F61" s="48">
        <f>VLOOKUP(D61,'App 9_Yr1 Headcount'!$E$195:$F$202,2,FALSE)</f>
        <v>1</v>
      </c>
      <c r="G61" s="559">
        <v>1</v>
      </c>
      <c r="H61" s="559">
        <v>2</v>
      </c>
      <c r="I61" s="559">
        <v>2</v>
      </c>
      <c r="J61" s="559">
        <v>2</v>
      </c>
      <c r="K61" s="456"/>
      <c r="L61" s="456">
        <f>'App 9_Yr1 Headcount'!$H93</f>
        <v>31250.000000000004</v>
      </c>
      <c r="M61" s="456">
        <f>G61*$E61*((1+'App 9_Yr1 Headcount'!$F$55)^'App 8_5Yr Headcount'!M$27)</f>
        <v>32187.5</v>
      </c>
      <c r="N61" s="456">
        <f>H61*$E61*((1+'App 9_Yr1 Headcount'!$F$55)^'App 8_5Yr Headcount'!N$27)</f>
        <v>66306.25</v>
      </c>
      <c r="O61" s="456">
        <f>I61*$E61*((1+'App 9_Yr1 Headcount'!$F$55)^'App 8_5Yr Headcount'!O$27)</f>
        <v>68295.4375</v>
      </c>
      <c r="P61" s="576">
        <f>J61*$E61*((1+'App 9_Yr1 Headcount'!$F$55)^'App 8_5Yr Headcount'!P$27)</f>
        <v>70344.300624999989</v>
      </c>
    </row>
    <row r="62" spans="2:16" s="25" customFormat="1" ht="12.75">
      <c r="B62" s="339" t="str">
        <f>'App 9_Yr1 Headcount'!C197</f>
        <v>Doctors</v>
      </c>
      <c r="C62" s="339" t="str">
        <f>'App 9_Yr1 Headcount'!D197</f>
        <v>PT</v>
      </c>
      <c r="D62" s="48" t="str">
        <f t="shared" si="30"/>
        <v>DoctorsPT</v>
      </c>
      <c r="E62" s="456">
        <f>VLOOKUP(D62,'App 9_Yr1 Headcount'!$E$35:$G$50,3,FALSE)</f>
        <v>15000</v>
      </c>
      <c r="F62" s="48">
        <f>VLOOKUP(D62,'App 9_Yr1 Headcount'!$E$195:$F$202,2,FALSE)</f>
        <v>0</v>
      </c>
      <c r="G62" s="559">
        <f t="shared" si="29"/>
        <v>0</v>
      </c>
      <c r="H62" s="559">
        <f t="shared" si="29"/>
        <v>0</v>
      </c>
      <c r="I62" s="559">
        <f t="shared" si="29"/>
        <v>0</v>
      </c>
      <c r="J62" s="559">
        <f t="shared" si="29"/>
        <v>0</v>
      </c>
      <c r="K62" s="456"/>
      <c r="L62" s="456">
        <f>'App 9_Yr1 Headcount'!$H94</f>
        <v>0</v>
      </c>
      <c r="M62" s="456">
        <f>G62*$E62*((1+'App 9_Yr1 Headcount'!$F$55)^'App 8_5Yr Headcount'!M$27)</f>
        <v>0</v>
      </c>
      <c r="N62" s="456">
        <f>H62*$E62*((1+'App 9_Yr1 Headcount'!$F$55)^'App 8_5Yr Headcount'!N$27)</f>
        <v>0</v>
      </c>
      <c r="O62" s="456">
        <f>I62*$E62*((1+'App 9_Yr1 Headcount'!$F$55)^'App 8_5Yr Headcount'!O$27)</f>
        <v>0</v>
      </c>
      <c r="P62" s="576">
        <f>J62*$E62*((1+'App 9_Yr1 Headcount'!$F$55)^'App 8_5Yr Headcount'!P$27)</f>
        <v>0</v>
      </c>
    </row>
    <row r="63" spans="2:16" s="25" customFormat="1" ht="12.75">
      <c r="B63" s="339" t="str">
        <f>'App 9_Yr1 Headcount'!C198</f>
        <v>Pharmacists</v>
      </c>
      <c r="C63" s="339" t="str">
        <f>'App 9_Yr1 Headcount'!D198</f>
        <v>FT</v>
      </c>
      <c r="D63" s="48" t="str">
        <f t="shared" si="30"/>
        <v>PharmacistsFT</v>
      </c>
      <c r="E63" s="456">
        <f>VLOOKUP(D63,'App 9_Yr1 Headcount'!$E$35:$G$50,3,FALSE)</f>
        <v>18750</v>
      </c>
      <c r="F63" s="48">
        <f>VLOOKUP(D63,'App 9_Yr1 Headcount'!$E$195:$F$202,2,FALSE)</f>
        <v>1</v>
      </c>
      <c r="G63" s="559">
        <v>1</v>
      </c>
      <c r="H63" s="559">
        <v>2</v>
      </c>
      <c r="I63" s="559">
        <v>2</v>
      </c>
      <c r="J63" s="559">
        <v>2</v>
      </c>
      <c r="K63" s="456"/>
      <c r="L63" s="456">
        <f>'App 9_Yr1 Headcount'!$H95</f>
        <v>18750</v>
      </c>
      <c r="M63" s="456">
        <f>G63*$E63*((1+'App 9_Yr1 Headcount'!$F$55)^'App 8_5Yr Headcount'!M$27)</f>
        <v>19312.5</v>
      </c>
      <c r="N63" s="456">
        <f>H63*$E63*((1+'App 9_Yr1 Headcount'!$F$55)^'App 8_5Yr Headcount'!N$27)</f>
        <v>39783.75</v>
      </c>
      <c r="O63" s="456">
        <f>I63*$E63*((1+'App 9_Yr1 Headcount'!$F$55)^'App 8_5Yr Headcount'!O$27)</f>
        <v>40977.262499999997</v>
      </c>
      <c r="P63" s="576">
        <f>J63*$E63*((1+'App 9_Yr1 Headcount'!$F$55)^'App 8_5Yr Headcount'!P$27)</f>
        <v>42206.580374999998</v>
      </c>
    </row>
    <row r="64" spans="2:16" s="25" customFormat="1" ht="12.75">
      <c r="B64" s="339" t="str">
        <f>'App 9_Yr1 Headcount'!C199</f>
        <v>Nurses</v>
      </c>
      <c r="C64" s="339" t="str">
        <f>'App 9_Yr1 Headcount'!D199</f>
        <v>FT</v>
      </c>
      <c r="D64" s="48" t="str">
        <f t="shared" si="30"/>
        <v>NursesFT</v>
      </c>
      <c r="E64" s="456">
        <f>VLOOKUP(D64,'App 9_Yr1 Headcount'!$E$35:$G$50,3,FALSE)</f>
        <v>3750</v>
      </c>
      <c r="F64" s="48">
        <f>VLOOKUP(D64,'App 9_Yr1 Headcount'!$E$195:$F$202,2,FALSE)</f>
        <v>0</v>
      </c>
      <c r="G64" s="559">
        <f t="shared" si="29"/>
        <v>0</v>
      </c>
      <c r="H64" s="559">
        <f t="shared" si="29"/>
        <v>0</v>
      </c>
      <c r="I64" s="559">
        <f t="shared" si="29"/>
        <v>0</v>
      </c>
      <c r="J64" s="559">
        <f t="shared" si="29"/>
        <v>0</v>
      </c>
      <c r="K64" s="456"/>
      <c r="L64" s="456">
        <f>'App 9_Yr1 Headcount'!$H96</f>
        <v>0</v>
      </c>
      <c r="M64" s="456">
        <f>G64*$E64*((1+'App 9_Yr1 Headcount'!$F$55)^'App 8_5Yr Headcount'!M$27)</f>
        <v>0</v>
      </c>
      <c r="N64" s="456">
        <f>H64*$E64*((1+'App 9_Yr1 Headcount'!$F$55)^'App 8_5Yr Headcount'!N$27)</f>
        <v>0</v>
      </c>
      <c r="O64" s="456">
        <f>I64*$E64*((1+'App 9_Yr1 Headcount'!$F$55)^'App 8_5Yr Headcount'!O$27)</f>
        <v>0</v>
      </c>
      <c r="P64" s="576">
        <f>J64*$E64*((1+'App 9_Yr1 Headcount'!$F$55)^'App 8_5Yr Headcount'!P$27)</f>
        <v>0</v>
      </c>
    </row>
    <row r="65" spans="2:16" s="25" customFormat="1" ht="12.75">
      <c r="B65" s="339" t="str">
        <f>'App 9_Yr1 Headcount'!C200</f>
        <v>Engineers</v>
      </c>
      <c r="C65" s="339" t="str">
        <f>'App 9_Yr1 Headcount'!D200</f>
        <v>FT</v>
      </c>
      <c r="D65" s="48" t="str">
        <f t="shared" si="30"/>
        <v>EngineersFT</v>
      </c>
      <c r="E65" s="456">
        <f>VLOOKUP(D65,'App 9_Yr1 Headcount'!$E$35:$G$50,3,FALSE)</f>
        <v>8750</v>
      </c>
      <c r="F65" s="48">
        <f>VLOOKUP(D65,'App 9_Yr1 Headcount'!$E$195:$F$202,2,FALSE)</f>
        <v>1</v>
      </c>
      <c r="G65" s="559">
        <f t="shared" si="29"/>
        <v>1</v>
      </c>
      <c r="H65" s="559">
        <v>2</v>
      </c>
      <c r="I65" s="559">
        <f t="shared" si="29"/>
        <v>2</v>
      </c>
      <c r="J65" s="559">
        <f t="shared" si="29"/>
        <v>2</v>
      </c>
      <c r="K65" s="456"/>
      <c r="L65" s="456">
        <f>'App 9_Yr1 Headcount'!$H97</f>
        <v>8750.0000000000018</v>
      </c>
      <c r="M65" s="456">
        <f>G65*$E65*((1+'App 9_Yr1 Headcount'!$F$55)^'App 8_5Yr Headcount'!M$27)</f>
        <v>9012.5</v>
      </c>
      <c r="N65" s="456">
        <f>H65*$E65*((1+'App 9_Yr1 Headcount'!$F$55)^'App 8_5Yr Headcount'!N$27)</f>
        <v>18565.75</v>
      </c>
      <c r="O65" s="456">
        <f>I65*$E65*((1+'App 9_Yr1 Headcount'!$F$55)^'App 8_5Yr Headcount'!O$27)</f>
        <v>19122.7225</v>
      </c>
      <c r="P65" s="576">
        <f>J65*$E65*((1+'App 9_Yr1 Headcount'!$F$55)^'App 8_5Yr Headcount'!P$27)</f>
        <v>19696.404175</v>
      </c>
    </row>
    <row r="66" spans="2:16" s="25" customFormat="1" ht="12.75">
      <c r="B66" s="339" t="str">
        <f>'App 9_Yr1 Headcount'!C201</f>
        <v>Technicians</v>
      </c>
      <c r="C66" s="339" t="str">
        <f>'App 9_Yr1 Headcount'!D201</f>
        <v>FT</v>
      </c>
      <c r="D66" s="48" t="str">
        <f t="shared" si="30"/>
        <v>TechniciansFT</v>
      </c>
      <c r="E66" s="456">
        <f>VLOOKUP(D66,'App 9_Yr1 Headcount'!$E$35:$G$50,3,FALSE)</f>
        <v>8750</v>
      </c>
      <c r="F66" s="48">
        <f>VLOOKUP(D66,'App 9_Yr1 Headcount'!$E$195:$F$202,2,FALSE)</f>
        <v>5</v>
      </c>
      <c r="G66" s="559">
        <v>5</v>
      </c>
      <c r="H66" s="559">
        <v>10</v>
      </c>
      <c r="I66" s="559">
        <v>15</v>
      </c>
      <c r="J66" s="559">
        <v>20</v>
      </c>
      <c r="K66" s="456"/>
      <c r="L66" s="456">
        <f>'App 9_Yr1 Headcount'!$H98</f>
        <v>34999.999999999993</v>
      </c>
      <c r="M66" s="456">
        <f>G66*$E66*((1+'App 9_Yr1 Headcount'!$F$55)^'App 8_5Yr Headcount'!M$27)</f>
        <v>45062.5</v>
      </c>
      <c r="N66" s="456">
        <f>H66*$E66*((1+'App 9_Yr1 Headcount'!$F$55)^'App 8_5Yr Headcount'!N$27)</f>
        <v>92828.75</v>
      </c>
      <c r="O66" s="456">
        <f>I66*$E66*((1+'App 9_Yr1 Headcount'!$F$55)^'App 8_5Yr Headcount'!O$27)</f>
        <v>143420.41875000001</v>
      </c>
      <c r="P66" s="576">
        <f>J66*$E66*((1+'App 9_Yr1 Headcount'!$F$55)^'App 8_5Yr Headcount'!P$27)</f>
        <v>196964.04174999997</v>
      </c>
    </row>
    <row r="67" spans="2:16" s="25" customFormat="1" ht="12.75">
      <c r="B67" s="339" t="str">
        <f>'App 9_Yr1 Headcount'!C202</f>
        <v>Others</v>
      </c>
      <c r="C67" s="339" t="str">
        <f>'App 9_Yr1 Headcount'!D202</f>
        <v>FT</v>
      </c>
      <c r="D67" s="48" t="str">
        <f t="shared" si="30"/>
        <v>OthersFT</v>
      </c>
      <c r="E67" s="456">
        <f>VLOOKUP(D67,'App 9_Yr1 Headcount'!$E$35:$G$50,3,FALSE)</f>
        <v>1250</v>
      </c>
      <c r="F67" s="48">
        <f>VLOOKUP(D67,'App 9_Yr1 Headcount'!$E$195:$F$202,2,FALSE)</f>
        <v>1</v>
      </c>
      <c r="G67" s="559">
        <v>1</v>
      </c>
      <c r="H67" s="559">
        <v>3</v>
      </c>
      <c r="I67" s="559">
        <v>3</v>
      </c>
      <c r="J67" s="559">
        <v>3</v>
      </c>
      <c r="K67" s="456"/>
      <c r="L67" s="456">
        <f>'App 9_Yr1 Headcount'!$H99</f>
        <v>1250</v>
      </c>
      <c r="M67" s="456">
        <f>G67*$E67*((1+'App 9_Yr1 Headcount'!$F$55)^'App 8_5Yr Headcount'!M$27)</f>
        <v>1287.5</v>
      </c>
      <c r="N67" s="456">
        <f>H67*$E67*((1+'App 9_Yr1 Headcount'!$F$55)^'App 8_5Yr Headcount'!N$27)</f>
        <v>3978.375</v>
      </c>
      <c r="O67" s="456">
        <f>I67*$E67*((1+'App 9_Yr1 Headcount'!$F$55)^'App 8_5Yr Headcount'!O$27)</f>
        <v>4097.7262499999997</v>
      </c>
      <c r="P67" s="576">
        <f>J67*$E67*((1+'App 9_Yr1 Headcount'!$F$55)^'App 8_5Yr Headcount'!P$27)</f>
        <v>4220.6580374999994</v>
      </c>
    </row>
    <row r="68" spans="2:16" s="25" customFormat="1" ht="12.75">
      <c r="B68" s="342" t="s">
        <v>227</v>
      </c>
      <c r="C68" s="342"/>
      <c r="D68" s="343"/>
      <c r="E68" s="457"/>
      <c r="F68" s="343">
        <f>SUM(F60:F67)</f>
        <v>10</v>
      </c>
      <c r="G68" s="343">
        <f t="shared" ref="G68:J68" si="31">SUM(G60:G67)</f>
        <v>10</v>
      </c>
      <c r="H68" s="343">
        <f t="shared" si="31"/>
        <v>20</v>
      </c>
      <c r="I68" s="343">
        <f t="shared" si="31"/>
        <v>25</v>
      </c>
      <c r="J68" s="343">
        <f t="shared" si="31"/>
        <v>30</v>
      </c>
      <c r="K68" s="457"/>
      <c r="L68" s="457">
        <f>SUM(L60:L67)</f>
        <v>132500</v>
      </c>
      <c r="M68" s="457">
        <f t="shared" ref="M68:P68" si="32">SUM(M60:M67)</f>
        <v>145487.5</v>
      </c>
      <c r="N68" s="457">
        <f t="shared" si="32"/>
        <v>261246.625</v>
      </c>
      <c r="O68" s="457">
        <f t="shared" si="32"/>
        <v>316890.83</v>
      </c>
      <c r="P68" s="584">
        <f t="shared" si="32"/>
        <v>375638.56533749995</v>
      </c>
    </row>
    <row r="69" spans="2:16" s="25" customFormat="1" ht="12.75"/>
    <row r="70" spans="2:16" s="25" customFormat="1" ht="12.75">
      <c r="B70" s="499" t="s">
        <v>228</v>
      </c>
      <c r="C70" s="524"/>
      <c r="D70" s="524"/>
      <c r="E70" s="524"/>
      <c r="F70" s="524"/>
      <c r="G70" s="524"/>
      <c r="H70" s="524"/>
      <c r="I70" s="524"/>
      <c r="J70" s="524"/>
      <c r="K70" s="530"/>
      <c r="L70" s="524"/>
      <c r="M70" s="524"/>
      <c r="N70" s="524"/>
      <c r="O70" s="524"/>
      <c r="P70" s="529"/>
    </row>
    <row r="71" spans="2:16" s="25" customFormat="1" ht="12.75">
      <c r="B71" s="788" t="str">
        <f>'App 9_Yr1 Headcount'!C205</f>
        <v>X-Ray</v>
      </c>
      <c r="C71" s="788"/>
      <c r="D71" s="788">
        <f>'App 9_Yr1 Headcount'!E205</f>
        <v>0</v>
      </c>
      <c r="E71" s="456"/>
      <c r="F71" s="48"/>
      <c r="G71" s="48"/>
      <c r="H71" s="48"/>
      <c r="I71" s="48"/>
      <c r="J71" s="48"/>
      <c r="K71" s="456"/>
      <c r="L71" s="48"/>
      <c r="M71" s="48"/>
      <c r="N71" s="48"/>
      <c r="O71" s="48"/>
      <c r="P71" s="372"/>
    </row>
    <row r="72" spans="2:16" s="25" customFormat="1" ht="12.75">
      <c r="B72" s="339" t="str">
        <f>'App 9_Yr1 Headcount'!C206</f>
        <v>Doctors</v>
      </c>
      <c r="C72" s="339" t="str">
        <f>'App 9_Yr1 Headcount'!D206</f>
        <v>FT</v>
      </c>
      <c r="D72" s="339" t="str">
        <f>'App 9_Yr1 Headcount'!E206</f>
        <v>DoctorsFT</v>
      </c>
      <c r="E72" s="456">
        <f>VLOOKUP(D72,'App 9_Yr1 Headcount'!$E$35:$G$50,3,FALSE)</f>
        <v>31250</v>
      </c>
      <c r="F72" s="48">
        <f>VLOOKUP(D72,'App 9_Yr1 Headcount'!$E$204:$F$210,2,FALSE)</f>
        <v>1</v>
      </c>
      <c r="G72" s="559">
        <v>1</v>
      </c>
      <c r="H72" s="559">
        <v>2</v>
      </c>
      <c r="I72" s="559">
        <v>2</v>
      </c>
      <c r="J72" s="559">
        <v>2</v>
      </c>
      <c r="K72" s="456"/>
      <c r="L72" s="456">
        <f>'App 9_Yr1 Headcount'!$H103</f>
        <v>31250.000000000004</v>
      </c>
      <c r="M72" s="456">
        <f>G72*$E72*((1+'App 9_Yr1 Headcount'!$F$55)^'App 8_5Yr Headcount'!M$27)</f>
        <v>32187.5</v>
      </c>
      <c r="N72" s="456">
        <f>H72*$E72*((1+'App 9_Yr1 Headcount'!$F$55)^'App 8_5Yr Headcount'!N$27)</f>
        <v>66306.25</v>
      </c>
      <c r="O72" s="456">
        <f>I72*$E72*((1+'App 9_Yr1 Headcount'!$F$55)^'App 8_5Yr Headcount'!O$27)</f>
        <v>68295.4375</v>
      </c>
      <c r="P72" s="576">
        <f>J72*$E72*((1+'App 9_Yr1 Headcount'!$F$55)^'App 8_5Yr Headcount'!P$27)</f>
        <v>70344.300624999989</v>
      </c>
    </row>
    <row r="73" spans="2:16" s="25" customFormat="1" ht="12.75">
      <c r="B73" s="339" t="str">
        <f>'App 9_Yr1 Headcount'!C207</f>
        <v>Doctors</v>
      </c>
      <c r="C73" s="339" t="str">
        <f>'App 9_Yr1 Headcount'!D207</f>
        <v>PT</v>
      </c>
      <c r="D73" s="339" t="str">
        <f>'App 9_Yr1 Headcount'!E207</f>
        <v>DoctorsPT</v>
      </c>
      <c r="E73" s="456">
        <f>VLOOKUP(D73,'App 9_Yr1 Headcount'!$E$35:$G$50,3,FALSE)</f>
        <v>15000</v>
      </c>
      <c r="F73" s="48">
        <f>VLOOKUP(D73,'App 9_Yr1 Headcount'!$E$204:$F$210,2,FALSE)</f>
        <v>0</v>
      </c>
      <c r="G73" s="559">
        <f t="shared" ref="G73:J76" si="33">F73</f>
        <v>0</v>
      </c>
      <c r="H73" s="559">
        <v>2</v>
      </c>
      <c r="I73" s="559">
        <f t="shared" si="33"/>
        <v>2</v>
      </c>
      <c r="J73" s="559">
        <f t="shared" si="33"/>
        <v>2</v>
      </c>
      <c r="K73" s="456"/>
      <c r="L73" s="456">
        <f>'App 9_Yr1 Headcount'!$H104</f>
        <v>0</v>
      </c>
      <c r="M73" s="456">
        <f>G73*$E73*((1+'App 9_Yr1 Headcount'!$F$55)^'App 8_5Yr Headcount'!M$27)</f>
        <v>0</v>
      </c>
      <c r="N73" s="456">
        <f>H73*$E73*((1+'App 9_Yr1 Headcount'!$F$55)^'App 8_5Yr Headcount'!N$27)</f>
        <v>31827</v>
      </c>
      <c r="O73" s="456">
        <f>I73*$E73*((1+'App 9_Yr1 Headcount'!$F$55)^'App 8_5Yr Headcount'!O$27)</f>
        <v>32781.81</v>
      </c>
      <c r="P73" s="576">
        <f>J73*$E73*((1+'App 9_Yr1 Headcount'!$F$55)^'App 8_5Yr Headcount'!P$27)</f>
        <v>33765.264299999995</v>
      </c>
    </row>
    <row r="74" spans="2:16" s="25" customFormat="1" ht="12.75">
      <c r="B74" s="339" t="str">
        <f>'App 9_Yr1 Headcount'!C208</f>
        <v>Nurses</v>
      </c>
      <c r="C74" s="339" t="str">
        <f>'App 9_Yr1 Headcount'!D208</f>
        <v>FT</v>
      </c>
      <c r="D74" s="339" t="str">
        <f>'App 9_Yr1 Headcount'!E208</f>
        <v>NursesFT</v>
      </c>
      <c r="E74" s="456">
        <f>VLOOKUP(D74,'App 9_Yr1 Headcount'!$E$35:$G$50,3,FALSE)</f>
        <v>3750</v>
      </c>
      <c r="F74" s="48">
        <f>VLOOKUP(D74,'App 9_Yr1 Headcount'!$E$204:$F$210,2,FALSE)</f>
        <v>1</v>
      </c>
      <c r="G74" s="559">
        <f t="shared" si="33"/>
        <v>1</v>
      </c>
      <c r="H74" s="559">
        <f t="shared" si="33"/>
        <v>1</v>
      </c>
      <c r="I74" s="559">
        <f t="shared" si="33"/>
        <v>1</v>
      </c>
      <c r="J74" s="559">
        <f t="shared" si="33"/>
        <v>1</v>
      </c>
      <c r="K74" s="456"/>
      <c r="L74" s="456">
        <f>'App 9_Yr1 Headcount'!$H105</f>
        <v>3750</v>
      </c>
      <c r="M74" s="456">
        <f>G74*$E74*((1+'App 9_Yr1 Headcount'!$F$55)^'App 8_5Yr Headcount'!M$27)</f>
        <v>3862.5</v>
      </c>
      <c r="N74" s="456">
        <f>H74*$E74*((1+'App 9_Yr1 Headcount'!$F$55)^'App 8_5Yr Headcount'!N$27)</f>
        <v>3978.375</v>
      </c>
      <c r="O74" s="456">
        <f>I74*$E74*((1+'App 9_Yr1 Headcount'!$F$55)^'App 8_5Yr Headcount'!O$27)</f>
        <v>4097.7262499999997</v>
      </c>
      <c r="P74" s="576">
        <f>J74*$E74*((1+'App 9_Yr1 Headcount'!$F$55)^'App 8_5Yr Headcount'!P$27)</f>
        <v>4220.6580374999994</v>
      </c>
    </row>
    <row r="75" spans="2:16" s="25" customFormat="1" ht="12.75">
      <c r="B75" s="339" t="str">
        <f>'App 9_Yr1 Headcount'!C209</f>
        <v>Technicians</v>
      </c>
      <c r="C75" s="339" t="str">
        <f>'App 9_Yr1 Headcount'!D209</f>
        <v>FT</v>
      </c>
      <c r="D75" s="339" t="str">
        <f>'App 9_Yr1 Headcount'!E209</f>
        <v>TechniciansFT</v>
      </c>
      <c r="E75" s="456">
        <f>VLOOKUP(D75,'App 9_Yr1 Headcount'!$E$35:$G$50,3,FALSE)</f>
        <v>8750</v>
      </c>
      <c r="F75" s="48">
        <f>VLOOKUP(D75,'App 9_Yr1 Headcount'!$E$204:$F$210,2,FALSE)</f>
        <v>2</v>
      </c>
      <c r="G75" s="559">
        <f t="shared" si="33"/>
        <v>2</v>
      </c>
      <c r="H75" s="559">
        <v>6</v>
      </c>
      <c r="I75" s="559">
        <v>6</v>
      </c>
      <c r="J75" s="559">
        <v>6</v>
      </c>
      <c r="K75" s="456"/>
      <c r="L75" s="456">
        <f>'App 9_Yr1 Headcount'!$H106</f>
        <v>17500.000000000004</v>
      </c>
      <c r="M75" s="456">
        <f>G75*$E75*((1+'App 9_Yr1 Headcount'!$F$55)^'App 8_5Yr Headcount'!M$27)</f>
        <v>18025</v>
      </c>
      <c r="N75" s="456">
        <f>H75*$E75*((1+'App 9_Yr1 Headcount'!$F$55)^'App 8_5Yr Headcount'!N$27)</f>
        <v>55697.25</v>
      </c>
      <c r="O75" s="456">
        <f>I75*$E75*((1+'App 9_Yr1 Headcount'!$F$55)^'App 8_5Yr Headcount'!O$27)</f>
        <v>57368.167500000003</v>
      </c>
      <c r="P75" s="576">
        <f>J75*$E75*((1+'App 9_Yr1 Headcount'!$F$55)^'App 8_5Yr Headcount'!P$27)</f>
        <v>59089.212524999995</v>
      </c>
    </row>
    <row r="76" spans="2:16" s="25" customFormat="1" ht="12.75">
      <c r="B76" s="339" t="str">
        <f>'App 9_Yr1 Headcount'!C210</f>
        <v>Others</v>
      </c>
      <c r="C76" s="339" t="str">
        <f>'App 9_Yr1 Headcount'!D210</f>
        <v>FT</v>
      </c>
      <c r="D76" s="339" t="str">
        <f>'App 9_Yr1 Headcount'!E210</f>
        <v>OthersFT</v>
      </c>
      <c r="E76" s="456">
        <f>VLOOKUP(D76,'App 9_Yr1 Headcount'!$E$35:$G$50,3,FALSE)</f>
        <v>1250</v>
      </c>
      <c r="F76" s="48">
        <f>VLOOKUP(D76,'App 9_Yr1 Headcount'!$E$204:$F$210,2,FALSE)</f>
        <v>0</v>
      </c>
      <c r="G76" s="559">
        <f t="shared" si="33"/>
        <v>0</v>
      </c>
      <c r="H76" s="559">
        <v>3</v>
      </c>
      <c r="I76" s="559">
        <f t="shared" si="33"/>
        <v>3</v>
      </c>
      <c r="J76" s="559">
        <f t="shared" si="33"/>
        <v>3</v>
      </c>
      <c r="K76" s="456"/>
      <c r="L76" s="456">
        <f>'App 9_Yr1 Headcount'!$H107</f>
        <v>0</v>
      </c>
      <c r="M76" s="456">
        <f>G76*$E76*((1+'App 9_Yr1 Headcount'!$F$55)^'App 8_5Yr Headcount'!M$27)</f>
        <v>0</v>
      </c>
      <c r="N76" s="456">
        <f>H76*$E76*((1+'App 9_Yr1 Headcount'!$F$55)^'App 8_5Yr Headcount'!N$27)</f>
        <v>3978.375</v>
      </c>
      <c r="O76" s="456">
        <f>I76*$E76*((1+'App 9_Yr1 Headcount'!$F$55)^'App 8_5Yr Headcount'!O$27)</f>
        <v>4097.7262499999997</v>
      </c>
      <c r="P76" s="576">
        <f>J76*$E76*((1+'App 9_Yr1 Headcount'!$F$55)^'App 8_5Yr Headcount'!P$27)</f>
        <v>4220.6580374999994</v>
      </c>
    </row>
    <row r="77" spans="2:16" s="25" customFormat="1" ht="12.75">
      <c r="B77" s="366" t="str">
        <f>'App 9_Yr1 Headcount'!C211</f>
        <v>Ultrasound</v>
      </c>
      <c r="C77" s="366"/>
      <c r="D77" s="366">
        <f>'App 9_Yr1 Headcount'!E211</f>
        <v>0</v>
      </c>
      <c r="E77" s="456"/>
      <c r="F77" s="48"/>
      <c r="G77" s="48"/>
      <c r="H77" s="48"/>
      <c r="I77" s="48"/>
      <c r="J77" s="48"/>
      <c r="K77" s="456"/>
      <c r="L77" s="48"/>
      <c r="M77" s="48"/>
      <c r="N77" s="48"/>
      <c r="O77" s="48"/>
      <c r="P77" s="372"/>
    </row>
    <row r="78" spans="2:16" s="25" customFormat="1" ht="12.75">
      <c r="B78" s="339" t="str">
        <f>'App 9_Yr1 Headcount'!C212</f>
        <v>Doctors</v>
      </c>
      <c r="C78" s="339" t="str">
        <f>'App 9_Yr1 Headcount'!D212</f>
        <v>FT</v>
      </c>
      <c r="D78" s="339" t="str">
        <f>'App 9_Yr1 Headcount'!E212</f>
        <v>DoctorsFT</v>
      </c>
      <c r="E78" s="456">
        <f>VLOOKUP(D78,'App 9_Yr1 Headcount'!$E$35:$G$50,3,FALSE)</f>
        <v>31250</v>
      </c>
      <c r="F78" s="48">
        <f>VLOOKUP(D78,'App 9_Yr1 Headcount'!$E$212:$F$216,2,FALSE)</f>
        <v>1</v>
      </c>
      <c r="G78" s="559">
        <v>2</v>
      </c>
      <c r="H78" s="559">
        <v>2</v>
      </c>
      <c r="I78" s="559">
        <v>2</v>
      </c>
      <c r="J78" s="559">
        <v>2</v>
      </c>
      <c r="K78" s="456"/>
      <c r="L78" s="456">
        <f>'App 9_Yr1 Headcount'!$H109</f>
        <v>31250.000000000004</v>
      </c>
      <c r="M78" s="456">
        <f>G78*$E78*((1+'App 9_Yr1 Headcount'!$F$55)^'App 8_5Yr Headcount'!M$27)</f>
        <v>64375</v>
      </c>
      <c r="N78" s="456">
        <f>H78*$E78*((1+'App 9_Yr1 Headcount'!$F$55)^'App 8_5Yr Headcount'!N$27)</f>
        <v>66306.25</v>
      </c>
      <c r="O78" s="456">
        <f>I78*$E78*((1+'App 9_Yr1 Headcount'!$F$55)^'App 8_5Yr Headcount'!O$27)</f>
        <v>68295.4375</v>
      </c>
      <c r="P78" s="576">
        <f>J78*$E78*((1+'App 9_Yr1 Headcount'!$F$55)^'App 8_5Yr Headcount'!P$27)</f>
        <v>70344.300624999989</v>
      </c>
    </row>
    <row r="79" spans="2:16" s="25" customFormat="1" ht="12.75">
      <c r="B79" s="339" t="str">
        <f>'App 9_Yr1 Headcount'!C213</f>
        <v>Doctors</v>
      </c>
      <c r="C79" s="339" t="str">
        <f>'App 9_Yr1 Headcount'!D213</f>
        <v>PT</v>
      </c>
      <c r="D79" s="339" t="str">
        <f>'App 9_Yr1 Headcount'!E213</f>
        <v>DoctorsPT</v>
      </c>
      <c r="E79" s="456">
        <f>VLOOKUP(D79,'App 9_Yr1 Headcount'!$E$35:$G$50,3,FALSE)</f>
        <v>15000</v>
      </c>
      <c r="F79" s="48">
        <f>VLOOKUP(D79,'App 9_Yr1 Headcount'!$E$212:$F$216,2,FALSE)</f>
        <v>1</v>
      </c>
      <c r="G79" s="559">
        <f t="shared" ref="G79:J82" si="34">F79</f>
        <v>1</v>
      </c>
      <c r="H79" s="559">
        <v>3</v>
      </c>
      <c r="I79" s="559">
        <v>3</v>
      </c>
      <c r="J79" s="559">
        <v>3</v>
      </c>
      <c r="K79" s="456"/>
      <c r="L79" s="456">
        <f>'App 9_Yr1 Headcount'!$H110</f>
        <v>15000</v>
      </c>
      <c r="M79" s="456">
        <f>G79*$E79*((1+'App 9_Yr1 Headcount'!$F$55)^'App 8_5Yr Headcount'!M$27)</f>
        <v>15450</v>
      </c>
      <c r="N79" s="456">
        <f>H79*$E79*((1+'App 9_Yr1 Headcount'!$F$55)^'App 8_5Yr Headcount'!N$27)</f>
        <v>47740.5</v>
      </c>
      <c r="O79" s="456">
        <f>I79*$E79*((1+'App 9_Yr1 Headcount'!$F$55)^'App 8_5Yr Headcount'!O$27)</f>
        <v>49172.715000000004</v>
      </c>
      <c r="P79" s="576">
        <f>J79*$E79*((1+'App 9_Yr1 Headcount'!$F$55)^'App 8_5Yr Headcount'!P$27)</f>
        <v>50647.896449999993</v>
      </c>
    </row>
    <row r="80" spans="2:16" s="25" customFormat="1" ht="12.75">
      <c r="B80" s="339" t="str">
        <f>'App 9_Yr1 Headcount'!C214</f>
        <v>Nurses</v>
      </c>
      <c r="C80" s="339" t="str">
        <f>'App 9_Yr1 Headcount'!D214</f>
        <v>FT</v>
      </c>
      <c r="D80" s="339" t="str">
        <f>'App 9_Yr1 Headcount'!E214</f>
        <v>NursesFT</v>
      </c>
      <c r="E80" s="456">
        <f>VLOOKUP(D80,'App 9_Yr1 Headcount'!$E$35:$G$50,3,FALSE)</f>
        <v>3750</v>
      </c>
      <c r="F80" s="48">
        <f>VLOOKUP(D80,'App 9_Yr1 Headcount'!$E$212:$F$216,2,FALSE)</f>
        <v>3</v>
      </c>
      <c r="G80" s="559">
        <v>3</v>
      </c>
      <c r="H80" s="559">
        <v>8</v>
      </c>
      <c r="I80" s="559">
        <f>H80</f>
        <v>8</v>
      </c>
      <c r="J80" s="559">
        <f>I80</f>
        <v>8</v>
      </c>
      <c r="K80" s="456"/>
      <c r="L80" s="456">
        <f>'App 9_Yr1 Headcount'!$H111</f>
        <v>9687.5</v>
      </c>
      <c r="M80" s="456">
        <f>G80*$E80*((1+'App 9_Yr1 Headcount'!$F$55)^'App 8_5Yr Headcount'!M$27)</f>
        <v>11587.5</v>
      </c>
      <c r="N80" s="456">
        <f>H80*$E80*((1+'App 9_Yr1 Headcount'!$F$55)^'App 8_5Yr Headcount'!N$27)</f>
        <v>31827</v>
      </c>
      <c r="O80" s="456">
        <f>I80*$E80*((1+'App 9_Yr1 Headcount'!$F$55)^'App 8_5Yr Headcount'!O$27)</f>
        <v>32781.81</v>
      </c>
      <c r="P80" s="576">
        <f>J80*$E80*((1+'App 9_Yr1 Headcount'!$F$55)^'App 8_5Yr Headcount'!P$27)</f>
        <v>33765.264299999995</v>
      </c>
    </row>
    <row r="81" spans="2:16" s="25" customFormat="1" ht="12.75">
      <c r="B81" s="339" t="str">
        <f>'App 9_Yr1 Headcount'!C215</f>
        <v>Technicians</v>
      </c>
      <c r="C81" s="339" t="str">
        <f>'App 9_Yr1 Headcount'!D215</f>
        <v>FT</v>
      </c>
      <c r="D81" s="339" t="str">
        <f>'App 9_Yr1 Headcount'!E215</f>
        <v>TechniciansFT</v>
      </c>
      <c r="E81" s="456">
        <f>VLOOKUP(D81,'App 9_Yr1 Headcount'!$E$35:$G$50,3,FALSE)</f>
        <v>8750</v>
      </c>
      <c r="F81" s="48">
        <f>VLOOKUP(D81,'App 9_Yr1 Headcount'!$E$212:$F$216,2,FALSE)</f>
        <v>1</v>
      </c>
      <c r="G81" s="559">
        <f t="shared" si="34"/>
        <v>1</v>
      </c>
      <c r="H81" s="559">
        <f t="shared" si="34"/>
        <v>1</v>
      </c>
      <c r="I81" s="559">
        <f t="shared" si="34"/>
        <v>1</v>
      </c>
      <c r="J81" s="559">
        <f t="shared" si="34"/>
        <v>1</v>
      </c>
      <c r="K81" s="456"/>
      <c r="L81" s="456">
        <f>'App 9_Yr1 Headcount'!$H112</f>
        <v>8750.0000000000018</v>
      </c>
      <c r="M81" s="456">
        <f>G81*$E81*((1+'App 9_Yr1 Headcount'!$F$55)^'App 8_5Yr Headcount'!M$27)</f>
        <v>9012.5</v>
      </c>
      <c r="N81" s="456">
        <f>H81*$E81*((1+'App 9_Yr1 Headcount'!$F$55)^'App 8_5Yr Headcount'!N$27)</f>
        <v>9282.875</v>
      </c>
      <c r="O81" s="456">
        <f>I81*$E81*((1+'App 9_Yr1 Headcount'!$F$55)^'App 8_5Yr Headcount'!O$27)</f>
        <v>9561.3612499999999</v>
      </c>
      <c r="P81" s="576">
        <f>J81*$E81*((1+'App 9_Yr1 Headcount'!$F$55)^'App 8_5Yr Headcount'!P$27)</f>
        <v>9848.2020874999998</v>
      </c>
    </row>
    <row r="82" spans="2:16" s="25" customFormat="1" ht="12.75">
      <c r="B82" s="339" t="str">
        <f>'App 9_Yr1 Headcount'!C216</f>
        <v>Others</v>
      </c>
      <c r="C82" s="339" t="str">
        <f>'App 9_Yr1 Headcount'!D216</f>
        <v>FT</v>
      </c>
      <c r="D82" s="339" t="str">
        <f>'App 9_Yr1 Headcount'!E216</f>
        <v>OthersFT</v>
      </c>
      <c r="E82" s="456">
        <f>VLOOKUP(D82,'App 9_Yr1 Headcount'!$E$35:$G$50,3,FALSE)</f>
        <v>1250</v>
      </c>
      <c r="F82" s="48">
        <f>VLOOKUP(D82,'App 9_Yr1 Headcount'!$E$212:$F$216,2,FALSE)</f>
        <v>1</v>
      </c>
      <c r="G82" s="559">
        <v>1</v>
      </c>
      <c r="H82" s="559">
        <v>1</v>
      </c>
      <c r="I82" s="559">
        <f t="shared" si="34"/>
        <v>1</v>
      </c>
      <c r="J82" s="559">
        <f t="shared" si="34"/>
        <v>1</v>
      </c>
      <c r="K82" s="456"/>
      <c r="L82" s="456">
        <f>'App 9_Yr1 Headcount'!$H113</f>
        <v>1250</v>
      </c>
      <c r="M82" s="456">
        <f>G82*$E82*((1+'App 9_Yr1 Headcount'!$F$55)^'App 8_5Yr Headcount'!M$27)</f>
        <v>1287.5</v>
      </c>
      <c r="N82" s="456">
        <f>H82*$E82*((1+'App 9_Yr1 Headcount'!$F$55)^'App 8_5Yr Headcount'!N$27)</f>
        <v>1326.125</v>
      </c>
      <c r="O82" s="456">
        <f>I82*$E82*((1+'App 9_Yr1 Headcount'!$F$55)^'App 8_5Yr Headcount'!O$27)</f>
        <v>1365.9087500000001</v>
      </c>
      <c r="P82" s="576">
        <f>J82*$E82*((1+'App 9_Yr1 Headcount'!$F$55)^'App 8_5Yr Headcount'!P$27)</f>
        <v>1406.8860124999999</v>
      </c>
    </row>
    <row r="83" spans="2:16" s="25" customFormat="1" ht="12.75">
      <c r="B83" s="366" t="str">
        <f>'App 9_Yr1 Headcount'!C217</f>
        <v>Endoscopy</v>
      </c>
      <c r="C83" s="366"/>
      <c r="D83" s="366">
        <f>'App 9_Yr1 Headcount'!E217</f>
        <v>0</v>
      </c>
      <c r="E83" s="456"/>
      <c r="F83" s="48"/>
      <c r="G83" s="48"/>
      <c r="H83" s="48"/>
      <c r="I83" s="48"/>
      <c r="J83" s="48"/>
      <c r="K83" s="456"/>
      <c r="L83" s="456"/>
      <c r="M83" s="456"/>
      <c r="N83" s="456"/>
      <c r="O83" s="456"/>
      <c r="P83" s="576"/>
    </row>
    <row r="84" spans="2:16" s="25" customFormat="1" ht="12.75">
      <c r="B84" s="339" t="str">
        <f>'App 9_Yr1 Headcount'!C218</f>
        <v>Doctors</v>
      </c>
      <c r="C84" s="339" t="str">
        <f>'App 9_Yr1 Headcount'!D218</f>
        <v>FT</v>
      </c>
      <c r="D84" s="339" t="str">
        <f>'App 9_Yr1 Headcount'!E218</f>
        <v>DoctorsFT</v>
      </c>
      <c r="E84" s="456">
        <f>VLOOKUP(D84,'App 9_Yr1 Headcount'!$E$35:$G$50,3,FALSE)</f>
        <v>31250</v>
      </c>
      <c r="F84" s="48">
        <f>VLOOKUP(D84,'App 9_Yr1 Headcount'!$E$218:$F$222,2,FALSE)</f>
        <v>1</v>
      </c>
      <c r="G84" s="559">
        <v>1</v>
      </c>
      <c r="H84" s="559">
        <v>2</v>
      </c>
      <c r="I84" s="559">
        <v>2</v>
      </c>
      <c r="J84" s="559">
        <v>2</v>
      </c>
      <c r="K84" s="456"/>
      <c r="L84" s="456">
        <f>'App 9_Yr1 Headcount'!$H115</f>
        <v>31250.000000000004</v>
      </c>
      <c r="M84" s="456">
        <f>G84*$E84*((1+'App 9_Yr1 Headcount'!$F$55)^'App 8_5Yr Headcount'!M$27)</f>
        <v>32187.5</v>
      </c>
      <c r="N84" s="456">
        <f>H84*$E84*((1+'App 9_Yr1 Headcount'!$F$55)^'App 8_5Yr Headcount'!N$27)</f>
        <v>66306.25</v>
      </c>
      <c r="O84" s="456">
        <f>I84*$E84*((1+'App 9_Yr1 Headcount'!$F$55)^'App 8_5Yr Headcount'!O$27)</f>
        <v>68295.4375</v>
      </c>
      <c r="P84" s="576">
        <f>J84*$E84*((1+'App 9_Yr1 Headcount'!$F$55)^'App 8_5Yr Headcount'!P$27)</f>
        <v>70344.300624999989</v>
      </c>
    </row>
    <row r="85" spans="2:16" s="25" customFormat="1" ht="12.75">
      <c r="B85" s="339" t="str">
        <f>'App 9_Yr1 Headcount'!C219</f>
        <v>Doctors</v>
      </c>
      <c r="C85" s="339" t="str">
        <f>'App 9_Yr1 Headcount'!D219</f>
        <v>PT</v>
      </c>
      <c r="D85" s="339" t="str">
        <f>'App 9_Yr1 Headcount'!E219</f>
        <v>DoctorsPT</v>
      </c>
      <c r="E85" s="456">
        <f>VLOOKUP(D85,'App 9_Yr1 Headcount'!$E$35:$G$50,3,FALSE)</f>
        <v>15000</v>
      </c>
      <c r="F85" s="48">
        <f>VLOOKUP(D85,'App 9_Yr1 Headcount'!$E$218:$F$222,2,FALSE)</f>
        <v>1</v>
      </c>
      <c r="G85" s="559">
        <v>1</v>
      </c>
      <c r="H85" s="559">
        <v>2</v>
      </c>
      <c r="I85" s="559">
        <v>2</v>
      </c>
      <c r="J85" s="559">
        <f t="shared" ref="G85:J88" si="35">I85</f>
        <v>2</v>
      </c>
      <c r="K85" s="456"/>
      <c r="L85" s="456">
        <f>'App 9_Yr1 Headcount'!$H116</f>
        <v>12500</v>
      </c>
      <c r="M85" s="456">
        <f>G85*$E85*((1+'App 9_Yr1 Headcount'!$F$55)^'App 8_5Yr Headcount'!M$27)</f>
        <v>15450</v>
      </c>
      <c r="N85" s="456">
        <f>H85*$E85*((1+'App 9_Yr1 Headcount'!$F$55)^'App 8_5Yr Headcount'!N$27)</f>
        <v>31827</v>
      </c>
      <c r="O85" s="456">
        <f>I85*$E85*((1+'App 9_Yr1 Headcount'!$F$55)^'App 8_5Yr Headcount'!O$27)</f>
        <v>32781.81</v>
      </c>
      <c r="P85" s="576">
        <f>J85*$E85*((1+'App 9_Yr1 Headcount'!$F$55)^'App 8_5Yr Headcount'!P$27)</f>
        <v>33765.264299999995</v>
      </c>
    </row>
    <row r="86" spans="2:16" s="25" customFormat="1" ht="12.75">
      <c r="B86" s="339" t="str">
        <f>'App 9_Yr1 Headcount'!C220</f>
        <v>Nurses</v>
      </c>
      <c r="C86" s="339" t="str">
        <f>'App 9_Yr1 Headcount'!D220</f>
        <v>FT</v>
      </c>
      <c r="D86" s="339" t="str">
        <f>'App 9_Yr1 Headcount'!E220</f>
        <v>NursesFT</v>
      </c>
      <c r="E86" s="456">
        <f>VLOOKUP(D86,'App 9_Yr1 Headcount'!$E$35:$G$50,3,FALSE)</f>
        <v>3750</v>
      </c>
      <c r="F86" s="48">
        <f>VLOOKUP(D86,'App 9_Yr1 Headcount'!$E$218:$F$222,2,FALSE)</f>
        <v>3</v>
      </c>
      <c r="G86" s="559">
        <v>3</v>
      </c>
      <c r="H86" s="559">
        <v>6</v>
      </c>
      <c r="I86" s="559">
        <v>6</v>
      </c>
      <c r="J86" s="559">
        <f t="shared" si="35"/>
        <v>6</v>
      </c>
      <c r="K86" s="456"/>
      <c r="L86" s="456">
        <f>'App 9_Yr1 Headcount'!$H117</f>
        <v>11250</v>
      </c>
      <c r="M86" s="456">
        <f>G86*$E86*((1+'App 9_Yr1 Headcount'!$F$55)^'App 8_5Yr Headcount'!M$27)</f>
        <v>11587.5</v>
      </c>
      <c r="N86" s="456">
        <f>H86*$E86*((1+'App 9_Yr1 Headcount'!$F$55)^'App 8_5Yr Headcount'!N$27)</f>
        <v>23870.25</v>
      </c>
      <c r="O86" s="456">
        <f>I86*$E86*((1+'App 9_Yr1 Headcount'!$F$55)^'App 8_5Yr Headcount'!O$27)</f>
        <v>24586.357500000002</v>
      </c>
      <c r="P86" s="576">
        <f>J86*$E86*((1+'App 9_Yr1 Headcount'!$F$55)^'App 8_5Yr Headcount'!P$27)</f>
        <v>25323.948224999996</v>
      </c>
    </row>
    <row r="87" spans="2:16" s="25" customFormat="1" ht="12.75">
      <c r="B87" s="339" t="str">
        <f>'App 9_Yr1 Headcount'!C221</f>
        <v>Technicians</v>
      </c>
      <c r="C87" s="339" t="str">
        <f>'App 9_Yr1 Headcount'!D221</f>
        <v>FT</v>
      </c>
      <c r="D87" s="339" t="str">
        <f>'App 9_Yr1 Headcount'!E221</f>
        <v>TechniciansFT</v>
      </c>
      <c r="E87" s="456">
        <f>VLOOKUP(D87,'App 9_Yr1 Headcount'!$E$35:$G$50,3,FALSE)</f>
        <v>8750</v>
      </c>
      <c r="F87" s="48">
        <f>VLOOKUP(D87,'App 9_Yr1 Headcount'!$E$218:$F$222,2,FALSE)</f>
        <v>1</v>
      </c>
      <c r="G87" s="559">
        <f t="shared" si="35"/>
        <v>1</v>
      </c>
      <c r="H87" s="559">
        <f t="shared" si="35"/>
        <v>1</v>
      </c>
      <c r="I87" s="559">
        <f t="shared" si="35"/>
        <v>1</v>
      </c>
      <c r="J87" s="559">
        <f t="shared" si="35"/>
        <v>1</v>
      </c>
      <c r="K87" s="456"/>
      <c r="L87" s="456">
        <f>'App 9_Yr1 Headcount'!$H118</f>
        <v>8750.0000000000018</v>
      </c>
      <c r="M87" s="456">
        <f>G87*$E87*((1+'App 9_Yr1 Headcount'!$F$55)^'App 8_5Yr Headcount'!M$27)</f>
        <v>9012.5</v>
      </c>
      <c r="N87" s="456">
        <f>H87*$E87*((1+'App 9_Yr1 Headcount'!$F$55)^'App 8_5Yr Headcount'!N$27)</f>
        <v>9282.875</v>
      </c>
      <c r="O87" s="456">
        <f>I87*$E87*((1+'App 9_Yr1 Headcount'!$F$55)^'App 8_5Yr Headcount'!O$27)</f>
        <v>9561.3612499999999</v>
      </c>
      <c r="P87" s="576">
        <f>J87*$E87*((1+'App 9_Yr1 Headcount'!$F$55)^'App 8_5Yr Headcount'!P$27)</f>
        <v>9848.2020874999998</v>
      </c>
    </row>
    <row r="88" spans="2:16" s="25" customFormat="1" ht="12.75">
      <c r="B88" s="339" t="str">
        <f>'App 9_Yr1 Headcount'!C222</f>
        <v>Others</v>
      </c>
      <c r="C88" s="339" t="str">
        <f>'App 9_Yr1 Headcount'!D222</f>
        <v>FT</v>
      </c>
      <c r="D88" s="339" t="str">
        <f>'App 9_Yr1 Headcount'!E222</f>
        <v>OthersFT</v>
      </c>
      <c r="E88" s="456">
        <f>VLOOKUP(D88,'App 9_Yr1 Headcount'!$E$35:$G$50,3,FALSE)</f>
        <v>1250</v>
      </c>
      <c r="F88" s="48">
        <f>VLOOKUP(D88,'App 9_Yr1 Headcount'!$E$218:$F$222,2,FALSE)</f>
        <v>1</v>
      </c>
      <c r="G88" s="559">
        <f t="shared" si="35"/>
        <v>1</v>
      </c>
      <c r="H88" s="559">
        <f t="shared" si="35"/>
        <v>1</v>
      </c>
      <c r="I88" s="559">
        <f t="shared" si="35"/>
        <v>1</v>
      </c>
      <c r="J88" s="559">
        <f t="shared" si="35"/>
        <v>1</v>
      </c>
      <c r="K88" s="456"/>
      <c r="L88" s="456">
        <f>'App 9_Yr1 Headcount'!$H119</f>
        <v>1250</v>
      </c>
      <c r="M88" s="456">
        <f>G88*$E88*((1+'App 9_Yr1 Headcount'!$F$55)^'App 8_5Yr Headcount'!M$27)</f>
        <v>1287.5</v>
      </c>
      <c r="N88" s="456">
        <f>H88*$E88*((1+'App 9_Yr1 Headcount'!$F$55)^'App 8_5Yr Headcount'!N$27)</f>
        <v>1326.125</v>
      </c>
      <c r="O88" s="456">
        <f>I88*$E88*((1+'App 9_Yr1 Headcount'!$F$55)^'App 8_5Yr Headcount'!O$27)</f>
        <v>1365.9087500000001</v>
      </c>
      <c r="P88" s="576">
        <f>J88*$E88*((1+'App 9_Yr1 Headcount'!$F$55)^'App 8_5Yr Headcount'!P$27)</f>
        <v>1406.8860124999999</v>
      </c>
    </row>
    <row r="89" spans="2:16" s="25" customFormat="1" ht="12.75">
      <c r="B89" s="366" t="str">
        <f>'App 9_Yr1 Headcount'!C223</f>
        <v>CT Scan/PET-Scan</v>
      </c>
      <c r="C89" s="366"/>
      <c r="D89" s="366">
        <f>'App 9_Yr1 Headcount'!E223</f>
        <v>0</v>
      </c>
      <c r="E89" s="456"/>
      <c r="F89" s="48"/>
      <c r="G89" s="48"/>
      <c r="H89" s="48"/>
      <c r="I89" s="48"/>
      <c r="J89" s="48"/>
      <c r="K89" s="456"/>
      <c r="L89" s="48"/>
      <c r="M89" s="48"/>
      <c r="N89" s="48"/>
      <c r="O89" s="48"/>
      <c r="P89" s="372"/>
    </row>
    <row r="90" spans="2:16" s="25" customFormat="1" ht="12.75">
      <c r="B90" s="339" t="str">
        <f>'App 9_Yr1 Headcount'!C224</f>
        <v>Doctors</v>
      </c>
      <c r="C90" s="339" t="str">
        <f>'App 9_Yr1 Headcount'!D224</f>
        <v>FT</v>
      </c>
      <c r="D90" s="339" t="str">
        <f>'App 9_Yr1 Headcount'!E224</f>
        <v>DoctorsFT</v>
      </c>
      <c r="E90" s="456">
        <f>VLOOKUP(D90,'App 9_Yr1 Headcount'!$E$35:$G$50,3,FALSE)</f>
        <v>31250</v>
      </c>
      <c r="F90" s="48">
        <f>VLOOKUP(D90,'App 9_Yr1 Headcount'!$E$224:$F$228,2,FALSE)</f>
        <v>1</v>
      </c>
      <c r="G90" s="559">
        <f t="shared" ref="G90:J94" si="36">F90</f>
        <v>1</v>
      </c>
      <c r="H90" s="559">
        <v>2</v>
      </c>
      <c r="I90" s="559">
        <f t="shared" si="36"/>
        <v>2</v>
      </c>
      <c r="J90" s="559">
        <f t="shared" si="36"/>
        <v>2</v>
      </c>
      <c r="K90" s="456"/>
      <c r="L90" s="456">
        <f>'App 9_Yr1 Headcount'!$H121</f>
        <v>31250.000000000004</v>
      </c>
      <c r="M90" s="456">
        <f>G90*$E90*((1+'App 9_Yr1 Headcount'!$F$55)^'App 8_5Yr Headcount'!M$27)</f>
        <v>32187.5</v>
      </c>
      <c r="N90" s="456">
        <f>H90*$E90*((1+'App 9_Yr1 Headcount'!$F$55)^'App 8_5Yr Headcount'!N$27)</f>
        <v>66306.25</v>
      </c>
      <c r="O90" s="456">
        <f>I90*$E90*((1+'App 9_Yr1 Headcount'!$F$55)^'App 8_5Yr Headcount'!O$27)</f>
        <v>68295.4375</v>
      </c>
      <c r="P90" s="576">
        <f>J90*$E90*((1+'App 9_Yr1 Headcount'!$F$55)^'App 8_5Yr Headcount'!P$27)</f>
        <v>70344.300624999989</v>
      </c>
    </row>
    <row r="91" spans="2:16" s="25" customFormat="1" ht="12.75">
      <c r="B91" s="339" t="str">
        <f>'App 9_Yr1 Headcount'!C225</f>
        <v>Doctors</v>
      </c>
      <c r="C91" s="339" t="str">
        <f>'App 9_Yr1 Headcount'!D225</f>
        <v>PT</v>
      </c>
      <c r="D91" s="339" t="str">
        <f>'App 9_Yr1 Headcount'!E225</f>
        <v>DoctorsPT</v>
      </c>
      <c r="E91" s="456">
        <f>VLOOKUP(D91,'App 9_Yr1 Headcount'!$E$35:$G$50,3,FALSE)</f>
        <v>15000</v>
      </c>
      <c r="F91" s="48">
        <f>VLOOKUP(D91,'App 9_Yr1 Headcount'!$E$224:$F$228,2,FALSE)</f>
        <v>0</v>
      </c>
      <c r="G91" s="559">
        <f t="shared" si="36"/>
        <v>0</v>
      </c>
      <c r="H91" s="559">
        <v>2</v>
      </c>
      <c r="I91" s="559">
        <v>2</v>
      </c>
      <c r="J91" s="559">
        <v>2</v>
      </c>
      <c r="K91" s="456"/>
      <c r="L91" s="456">
        <f>'App 9_Yr1 Headcount'!$H122</f>
        <v>0</v>
      </c>
      <c r="M91" s="456">
        <f>G91*$E91*((1+'App 9_Yr1 Headcount'!$F$55)^'App 8_5Yr Headcount'!M$27)</f>
        <v>0</v>
      </c>
      <c r="N91" s="456">
        <f>H91*$E91*((1+'App 9_Yr1 Headcount'!$F$55)^'App 8_5Yr Headcount'!N$27)</f>
        <v>31827</v>
      </c>
      <c r="O91" s="456">
        <f>I91*$E91*((1+'App 9_Yr1 Headcount'!$F$55)^'App 8_5Yr Headcount'!O$27)</f>
        <v>32781.81</v>
      </c>
      <c r="P91" s="576">
        <f>J91*$E91*((1+'App 9_Yr1 Headcount'!$F$55)^'App 8_5Yr Headcount'!P$27)</f>
        <v>33765.264299999995</v>
      </c>
    </row>
    <row r="92" spans="2:16" s="25" customFormat="1" ht="12.75">
      <c r="B92" s="339" t="str">
        <f>'App 9_Yr1 Headcount'!C226</f>
        <v>Nurses</v>
      </c>
      <c r="C92" s="339" t="str">
        <f>'App 9_Yr1 Headcount'!D226</f>
        <v>FT</v>
      </c>
      <c r="D92" s="339" t="str">
        <f>'App 9_Yr1 Headcount'!E226</f>
        <v>NursesFT</v>
      </c>
      <c r="E92" s="456">
        <f>VLOOKUP(D92,'App 9_Yr1 Headcount'!$E$35:$G$50,3,FALSE)</f>
        <v>3750</v>
      </c>
      <c r="F92" s="48">
        <f>VLOOKUP(D92,'App 9_Yr1 Headcount'!$E$224:$F$228,2,FALSE)</f>
        <v>1</v>
      </c>
      <c r="G92" s="559">
        <v>2</v>
      </c>
      <c r="H92" s="559">
        <v>3</v>
      </c>
      <c r="I92" s="559">
        <v>3</v>
      </c>
      <c r="J92" s="559">
        <f t="shared" si="36"/>
        <v>3</v>
      </c>
      <c r="K92" s="456"/>
      <c r="L92" s="456">
        <f>'App 9_Yr1 Headcount'!$H123</f>
        <v>3750</v>
      </c>
      <c r="M92" s="456">
        <f>G92*$E92*((1+'App 9_Yr1 Headcount'!$F$55)^'App 8_5Yr Headcount'!M$27)</f>
        <v>7725</v>
      </c>
      <c r="N92" s="456">
        <f>H92*$E92*((1+'App 9_Yr1 Headcount'!$F$55)^'App 8_5Yr Headcount'!N$27)</f>
        <v>11935.125</v>
      </c>
      <c r="O92" s="456">
        <f>I92*$E92*((1+'App 9_Yr1 Headcount'!$F$55)^'App 8_5Yr Headcount'!O$27)</f>
        <v>12293.178750000001</v>
      </c>
      <c r="P92" s="576">
        <f>J92*$E92*((1+'App 9_Yr1 Headcount'!$F$55)^'App 8_5Yr Headcount'!P$27)</f>
        <v>12661.974112499998</v>
      </c>
    </row>
    <row r="93" spans="2:16" s="25" customFormat="1" ht="12.75">
      <c r="B93" s="339" t="str">
        <f>'App 9_Yr1 Headcount'!C227</f>
        <v>Technicians</v>
      </c>
      <c r="C93" s="339" t="str">
        <f>'App 9_Yr1 Headcount'!D227</f>
        <v>FT</v>
      </c>
      <c r="D93" s="339" t="str">
        <f>'App 9_Yr1 Headcount'!E227</f>
        <v>TechniciansFT</v>
      </c>
      <c r="E93" s="456">
        <f>VLOOKUP(D93,'App 9_Yr1 Headcount'!$E$35:$G$50,3,FALSE)</f>
        <v>8750</v>
      </c>
      <c r="F93" s="48">
        <f>VLOOKUP(D93,'App 9_Yr1 Headcount'!$E$224:$F$228,2,FALSE)</f>
        <v>1</v>
      </c>
      <c r="G93" s="559">
        <f t="shared" si="36"/>
        <v>1</v>
      </c>
      <c r="H93" s="559">
        <f t="shared" si="36"/>
        <v>1</v>
      </c>
      <c r="I93" s="559">
        <f t="shared" si="36"/>
        <v>1</v>
      </c>
      <c r="J93" s="559">
        <f t="shared" si="36"/>
        <v>1</v>
      </c>
      <c r="K93" s="456"/>
      <c r="L93" s="456">
        <f>'App 9_Yr1 Headcount'!$H124</f>
        <v>8750.0000000000018</v>
      </c>
      <c r="M93" s="456">
        <f>G93*$E93*((1+'App 9_Yr1 Headcount'!$F$55)^'App 8_5Yr Headcount'!M$27)</f>
        <v>9012.5</v>
      </c>
      <c r="N93" s="456">
        <f>H93*$E93*((1+'App 9_Yr1 Headcount'!$F$55)^'App 8_5Yr Headcount'!N$27)</f>
        <v>9282.875</v>
      </c>
      <c r="O93" s="456">
        <f>I93*$E93*((1+'App 9_Yr1 Headcount'!$F$55)^'App 8_5Yr Headcount'!O$27)</f>
        <v>9561.3612499999999</v>
      </c>
      <c r="P93" s="576">
        <f>J93*$E93*((1+'App 9_Yr1 Headcount'!$F$55)^'App 8_5Yr Headcount'!P$27)</f>
        <v>9848.2020874999998</v>
      </c>
    </row>
    <row r="94" spans="2:16" s="25" customFormat="1" ht="12.75">
      <c r="B94" s="339" t="str">
        <f>'App 9_Yr1 Headcount'!C228</f>
        <v>Others</v>
      </c>
      <c r="C94" s="339" t="str">
        <f>'App 9_Yr1 Headcount'!D228</f>
        <v>FT</v>
      </c>
      <c r="D94" s="339" t="str">
        <f>'App 9_Yr1 Headcount'!E228</f>
        <v>OthersFT</v>
      </c>
      <c r="E94" s="456">
        <f>VLOOKUP(D94,'App 9_Yr1 Headcount'!$E$35:$G$50,3,FALSE)</f>
        <v>1250</v>
      </c>
      <c r="F94" s="48">
        <f>VLOOKUP(D94,'App 9_Yr1 Headcount'!$E$224:$F$228,2,FALSE)</f>
        <v>0</v>
      </c>
      <c r="G94" s="559">
        <f t="shared" si="36"/>
        <v>0</v>
      </c>
      <c r="H94" s="559">
        <f t="shared" si="36"/>
        <v>0</v>
      </c>
      <c r="I94" s="559">
        <f t="shared" si="36"/>
        <v>0</v>
      </c>
      <c r="J94" s="559">
        <f t="shared" si="36"/>
        <v>0</v>
      </c>
      <c r="K94" s="456"/>
      <c r="L94" s="456">
        <f>'App 9_Yr1 Headcount'!$H125</f>
        <v>0</v>
      </c>
      <c r="M94" s="456">
        <f>G94*$E94*((1+'App 9_Yr1 Headcount'!$F$55)^'App 8_5Yr Headcount'!M$27)</f>
        <v>0</v>
      </c>
      <c r="N94" s="456">
        <f>H94*$E94*((1+'App 9_Yr1 Headcount'!$F$55)^'App 8_5Yr Headcount'!N$27)</f>
        <v>0</v>
      </c>
      <c r="O94" s="456">
        <f>I94*$E94*((1+'App 9_Yr1 Headcount'!$F$55)^'App 8_5Yr Headcount'!O$27)</f>
        <v>0</v>
      </c>
      <c r="P94" s="576">
        <f>J94*$E94*((1+'App 9_Yr1 Headcount'!$F$55)^'App 8_5Yr Headcount'!P$27)</f>
        <v>0</v>
      </c>
    </row>
    <row r="95" spans="2:16" s="25" customFormat="1" ht="12.75">
      <c r="B95" s="366" t="str">
        <f>'App 9_Yr1 Headcount'!C229</f>
        <v>MRI</v>
      </c>
      <c r="C95" s="366"/>
      <c r="D95" s="366">
        <f>'App 9_Yr1 Headcount'!E229</f>
        <v>0</v>
      </c>
      <c r="E95" s="456"/>
      <c r="F95" s="48"/>
      <c r="G95" s="48"/>
      <c r="H95" s="48"/>
      <c r="I95" s="48"/>
      <c r="J95" s="48"/>
      <c r="K95" s="456"/>
      <c r="L95" s="456"/>
      <c r="M95" s="456"/>
      <c r="N95" s="456"/>
      <c r="O95" s="456"/>
      <c r="P95" s="576"/>
    </row>
    <row r="96" spans="2:16" s="25" customFormat="1" ht="12.75">
      <c r="B96" s="339" t="str">
        <f>'App 9_Yr1 Headcount'!C230</f>
        <v>Doctors</v>
      </c>
      <c r="C96" s="339" t="str">
        <f>'App 9_Yr1 Headcount'!D230</f>
        <v>FT</v>
      </c>
      <c r="D96" s="339" t="str">
        <f>'App 9_Yr1 Headcount'!E230</f>
        <v>DoctorsFT</v>
      </c>
      <c r="E96" s="456">
        <f>VLOOKUP(D96,'App 9_Yr1 Headcount'!$E$35:$G$50,3,FALSE)</f>
        <v>31250</v>
      </c>
      <c r="F96" s="48">
        <f>VLOOKUP(D96,'App 9_Yr1 Headcount'!$E$230:$F$234,2,FALSE)</f>
        <v>1</v>
      </c>
      <c r="G96" s="559">
        <f t="shared" ref="G96:J100" si="37">F96</f>
        <v>1</v>
      </c>
      <c r="H96" s="559">
        <v>2</v>
      </c>
      <c r="I96" s="559">
        <f t="shared" si="37"/>
        <v>2</v>
      </c>
      <c r="J96" s="559">
        <f t="shared" si="37"/>
        <v>2</v>
      </c>
      <c r="K96" s="456"/>
      <c r="L96" s="456">
        <f>'App 9_Yr1 Headcount'!$H127</f>
        <v>31250.000000000004</v>
      </c>
      <c r="M96" s="456">
        <f>G96*$E96*((1+'App 9_Yr1 Headcount'!$F$55)^'App 8_5Yr Headcount'!M$27)</f>
        <v>32187.5</v>
      </c>
      <c r="N96" s="456">
        <f>H96*$E96*((1+'App 9_Yr1 Headcount'!$F$55)^'App 8_5Yr Headcount'!N$27)</f>
        <v>66306.25</v>
      </c>
      <c r="O96" s="456">
        <f>I96*$E96*((1+'App 9_Yr1 Headcount'!$F$55)^'App 8_5Yr Headcount'!O$27)</f>
        <v>68295.4375</v>
      </c>
      <c r="P96" s="576">
        <f>J96*$E96*((1+'App 9_Yr1 Headcount'!$F$55)^'App 8_5Yr Headcount'!P$27)</f>
        <v>70344.300624999989</v>
      </c>
    </row>
    <row r="97" spans="2:16" s="25" customFormat="1" ht="12.75">
      <c r="B97" s="339" t="str">
        <f>'App 9_Yr1 Headcount'!C231</f>
        <v>Doctors</v>
      </c>
      <c r="C97" s="339" t="str">
        <f>'App 9_Yr1 Headcount'!D231</f>
        <v>PT</v>
      </c>
      <c r="D97" s="339" t="str">
        <f>'App 9_Yr1 Headcount'!E231</f>
        <v>DoctorsPT</v>
      </c>
      <c r="E97" s="456">
        <f>VLOOKUP(D97,'App 9_Yr1 Headcount'!$E$35:$G$50,3,FALSE)</f>
        <v>15000</v>
      </c>
      <c r="F97" s="48">
        <f>VLOOKUP(D97,'App 9_Yr1 Headcount'!$E$230:$F$234,2,FALSE)</f>
        <v>0</v>
      </c>
      <c r="G97" s="559">
        <f t="shared" si="37"/>
        <v>0</v>
      </c>
      <c r="H97" s="559">
        <v>1</v>
      </c>
      <c r="I97" s="559">
        <f t="shared" si="37"/>
        <v>1</v>
      </c>
      <c r="J97" s="559">
        <f t="shared" si="37"/>
        <v>1</v>
      </c>
      <c r="K97" s="456"/>
      <c r="L97" s="456">
        <f>'App 9_Yr1 Headcount'!$H128</f>
        <v>0</v>
      </c>
      <c r="M97" s="456">
        <f>G97*$E97*((1+'App 9_Yr1 Headcount'!$F$55)^'App 8_5Yr Headcount'!M$27)</f>
        <v>0</v>
      </c>
      <c r="N97" s="456">
        <f>H97*$E97*((1+'App 9_Yr1 Headcount'!$F$55)^'App 8_5Yr Headcount'!N$27)</f>
        <v>15913.5</v>
      </c>
      <c r="O97" s="456">
        <f>I97*$E97*((1+'App 9_Yr1 Headcount'!$F$55)^'App 8_5Yr Headcount'!O$27)</f>
        <v>16390.904999999999</v>
      </c>
      <c r="P97" s="576">
        <f>J97*$E97*((1+'App 9_Yr1 Headcount'!$F$55)^'App 8_5Yr Headcount'!P$27)</f>
        <v>16882.632149999998</v>
      </c>
    </row>
    <row r="98" spans="2:16" s="25" customFormat="1" ht="12.75">
      <c r="B98" s="339" t="str">
        <f>'App 9_Yr1 Headcount'!C232</f>
        <v>Nurses</v>
      </c>
      <c r="C98" s="339" t="str">
        <f>'App 9_Yr1 Headcount'!D232</f>
        <v>FT</v>
      </c>
      <c r="D98" s="339" t="str">
        <f>'App 9_Yr1 Headcount'!E232</f>
        <v>NursesFT</v>
      </c>
      <c r="E98" s="456">
        <f>VLOOKUP(D98,'App 9_Yr1 Headcount'!$E$35:$G$50,3,FALSE)</f>
        <v>3750</v>
      </c>
      <c r="F98" s="48">
        <f>VLOOKUP(D98,'App 9_Yr1 Headcount'!$E$230:$F$234,2,FALSE)</f>
        <v>1</v>
      </c>
      <c r="G98" s="559">
        <f t="shared" si="37"/>
        <v>1</v>
      </c>
      <c r="H98" s="559">
        <f t="shared" si="37"/>
        <v>1</v>
      </c>
      <c r="I98" s="559">
        <f t="shared" si="37"/>
        <v>1</v>
      </c>
      <c r="J98" s="559">
        <f t="shared" si="37"/>
        <v>1</v>
      </c>
      <c r="K98" s="456"/>
      <c r="L98" s="456">
        <f>'App 9_Yr1 Headcount'!$H129</f>
        <v>3750</v>
      </c>
      <c r="M98" s="456">
        <f>G98*$E98*((1+'App 9_Yr1 Headcount'!$F$55)^'App 8_5Yr Headcount'!M$27)</f>
        <v>3862.5</v>
      </c>
      <c r="N98" s="456">
        <f>H98*$E98*((1+'App 9_Yr1 Headcount'!$F$55)^'App 8_5Yr Headcount'!N$27)</f>
        <v>3978.375</v>
      </c>
      <c r="O98" s="456">
        <f>I98*$E98*((1+'App 9_Yr1 Headcount'!$F$55)^'App 8_5Yr Headcount'!O$27)</f>
        <v>4097.7262499999997</v>
      </c>
      <c r="P98" s="576">
        <f>J98*$E98*((1+'App 9_Yr1 Headcount'!$F$55)^'App 8_5Yr Headcount'!P$27)</f>
        <v>4220.6580374999994</v>
      </c>
    </row>
    <row r="99" spans="2:16" s="25" customFormat="1" ht="12.75">
      <c r="B99" s="339" t="str">
        <f>'App 9_Yr1 Headcount'!C233</f>
        <v>Technicians</v>
      </c>
      <c r="C99" s="339" t="str">
        <f>'App 9_Yr1 Headcount'!D233</f>
        <v>FT</v>
      </c>
      <c r="D99" s="339" t="str">
        <f>'App 9_Yr1 Headcount'!E233</f>
        <v>TechniciansFT</v>
      </c>
      <c r="E99" s="456">
        <f>VLOOKUP(D99,'App 9_Yr1 Headcount'!$E$35:$G$50,3,FALSE)</f>
        <v>8750</v>
      </c>
      <c r="F99" s="48">
        <f>VLOOKUP(D99,'App 9_Yr1 Headcount'!$E$230:$F$234,2,FALSE)</f>
        <v>1</v>
      </c>
      <c r="G99" s="559">
        <f t="shared" si="37"/>
        <v>1</v>
      </c>
      <c r="H99" s="559">
        <f t="shared" si="37"/>
        <v>1</v>
      </c>
      <c r="I99" s="559">
        <f t="shared" si="37"/>
        <v>1</v>
      </c>
      <c r="J99" s="559">
        <f t="shared" si="37"/>
        <v>1</v>
      </c>
      <c r="K99" s="456"/>
      <c r="L99" s="456">
        <f>'App 9_Yr1 Headcount'!$H130</f>
        <v>8750.0000000000018</v>
      </c>
      <c r="M99" s="456">
        <f>G99*$E99*((1+'App 9_Yr1 Headcount'!$F$55)^'App 8_5Yr Headcount'!M$27)</f>
        <v>9012.5</v>
      </c>
      <c r="N99" s="456">
        <f>H99*$E99*((1+'App 9_Yr1 Headcount'!$F$55)^'App 8_5Yr Headcount'!N$27)</f>
        <v>9282.875</v>
      </c>
      <c r="O99" s="456">
        <f>I99*$E99*((1+'App 9_Yr1 Headcount'!$F$55)^'App 8_5Yr Headcount'!O$27)</f>
        <v>9561.3612499999999</v>
      </c>
      <c r="P99" s="576">
        <f>J99*$E99*((1+'App 9_Yr1 Headcount'!$F$55)^'App 8_5Yr Headcount'!P$27)</f>
        <v>9848.2020874999998</v>
      </c>
    </row>
    <row r="100" spans="2:16" s="25" customFormat="1" ht="12.75">
      <c r="B100" s="592" t="str">
        <f>'App 9_Yr1 Headcount'!C234</f>
        <v>Others</v>
      </c>
      <c r="C100" s="592" t="str">
        <f>'App 9_Yr1 Headcount'!D234</f>
        <v>FT</v>
      </c>
      <c r="D100" s="592" t="str">
        <f>'App 9_Yr1 Headcount'!E234</f>
        <v>OthersFT</v>
      </c>
      <c r="E100" s="456">
        <f>VLOOKUP(D100,'App 9_Yr1 Headcount'!$E$35:$G$50,3,FALSE)</f>
        <v>1250</v>
      </c>
      <c r="F100" s="48">
        <f>VLOOKUP(D100,'App 9_Yr1 Headcount'!$E$230:$F$234,2,FALSE)</f>
        <v>0</v>
      </c>
      <c r="G100" s="559">
        <f t="shared" si="37"/>
        <v>0</v>
      </c>
      <c r="H100" s="559">
        <f t="shared" si="37"/>
        <v>0</v>
      </c>
      <c r="I100" s="559">
        <f t="shared" si="37"/>
        <v>0</v>
      </c>
      <c r="J100" s="559">
        <f t="shared" si="37"/>
        <v>0</v>
      </c>
      <c r="K100" s="456"/>
      <c r="L100" s="456">
        <f>'App 9_Yr1 Headcount'!$H131</f>
        <v>0</v>
      </c>
      <c r="M100" s="456">
        <f>G100*$E100*((1+'App 9_Yr1 Headcount'!$F$55)^'App 8_5Yr Headcount'!M$27)</f>
        <v>0</v>
      </c>
      <c r="N100" s="456">
        <f>H100*$E100*((1+'App 9_Yr1 Headcount'!$F$55)^'App 8_5Yr Headcount'!N$27)</f>
        <v>0</v>
      </c>
      <c r="O100" s="456">
        <f>I100*$E100*((1+'App 9_Yr1 Headcount'!$F$55)^'App 8_5Yr Headcount'!O$27)</f>
        <v>0</v>
      </c>
      <c r="P100" s="576">
        <f>J100*$E100*((1+'App 9_Yr1 Headcount'!$F$55)^'App 8_5Yr Headcount'!P$27)</f>
        <v>0</v>
      </c>
    </row>
    <row r="101" spans="2:16" s="25" customFormat="1" ht="12.75">
      <c r="B101" s="342" t="s">
        <v>229</v>
      </c>
      <c r="C101" s="342"/>
      <c r="D101" s="343"/>
      <c r="E101" s="457"/>
      <c r="F101" s="343">
        <f>SUM(F71:F100)</f>
        <v>24</v>
      </c>
      <c r="G101" s="343">
        <f t="shared" ref="G101:P101" si="38">SUM(G71:G100)</f>
        <v>26</v>
      </c>
      <c r="H101" s="343">
        <f t="shared" si="38"/>
        <v>54</v>
      </c>
      <c r="I101" s="343">
        <f t="shared" si="38"/>
        <v>54</v>
      </c>
      <c r="J101" s="343">
        <f t="shared" si="38"/>
        <v>54</v>
      </c>
      <c r="K101" s="457"/>
      <c r="L101" s="457">
        <f t="shared" si="38"/>
        <v>270937.5</v>
      </c>
      <c r="M101" s="457">
        <f t="shared" si="38"/>
        <v>319300</v>
      </c>
      <c r="N101" s="457">
        <f t="shared" si="38"/>
        <v>665714.75</v>
      </c>
      <c r="O101" s="457">
        <f t="shared" si="38"/>
        <v>685686.1925</v>
      </c>
      <c r="P101" s="584">
        <f t="shared" si="38"/>
        <v>706256.77827499993</v>
      </c>
    </row>
    <row r="102" spans="2:16" s="25" customFormat="1" ht="12.75"/>
    <row r="103" spans="2:16" s="25" customFormat="1" ht="12.75">
      <c r="B103" s="499" t="s">
        <v>192</v>
      </c>
      <c r="C103" s="524"/>
      <c r="D103" s="524"/>
      <c r="E103" s="524"/>
      <c r="F103" s="524"/>
      <c r="G103" s="524"/>
      <c r="H103" s="524"/>
      <c r="I103" s="524"/>
      <c r="J103" s="524"/>
      <c r="K103" s="530"/>
      <c r="L103" s="524"/>
      <c r="M103" s="524"/>
      <c r="N103" s="524"/>
      <c r="O103" s="524"/>
      <c r="P103" s="529"/>
    </row>
    <row r="104" spans="2:16" s="25" customFormat="1" ht="12.75">
      <c r="B104" s="339" t="str">
        <f>'App 9_Yr1 Headcount'!C241</f>
        <v>Marketing Manager</v>
      </c>
      <c r="C104" s="339" t="str">
        <f>'App 9_Yr1 Headcount'!D241</f>
        <v>FT</v>
      </c>
      <c r="D104" s="48" t="str">
        <f>'App 9_Yr1 Headcount'!E241</f>
        <v>Marketing/Delivery/IT ManagerFT</v>
      </c>
      <c r="E104" s="456">
        <f>VLOOKUP(D104,'App 9_Yr1 Headcount'!$E$35:$G$50,3,FALSE)</f>
        <v>18750</v>
      </c>
      <c r="F104" s="48">
        <f>VLOOKUP(D104,'App 9_Yr1 Headcount'!$E$241:$F$243,2,FALSE)</f>
        <v>1</v>
      </c>
      <c r="G104" s="559">
        <f t="shared" ref="G104:J105" si="39">F104</f>
        <v>1</v>
      </c>
      <c r="H104" s="559">
        <f t="shared" si="39"/>
        <v>1</v>
      </c>
      <c r="I104" s="559">
        <f t="shared" si="39"/>
        <v>1</v>
      </c>
      <c r="J104" s="559">
        <f t="shared" si="39"/>
        <v>1</v>
      </c>
      <c r="K104" s="456"/>
      <c r="L104" s="456">
        <f>'App 9_Yr1 Headcount'!$H138</f>
        <v>18750</v>
      </c>
      <c r="M104" s="456">
        <f>G104*$E104*((1+'App 9_Yr1 Headcount'!$F$55)^'App 8_5Yr Headcount'!M$27)</f>
        <v>19312.5</v>
      </c>
      <c r="N104" s="456">
        <f>H104*$E104*((1+'App 9_Yr1 Headcount'!$F$55)^'App 8_5Yr Headcount'!N$27)</f>
        <v>19891.875</v>
      </c>
      <c r="O104" s="456">
        <f>I104*$E104*((1+'App 9_Yr1 Headcount'!$F$55)^'App 8_5Yr Headcount'!O$27)</f>
        <v>20488.631249999999</v>
      </c>
      <c r="P104" s="576">
        <f>J104*$E104*((1+'App 9_Yr1 Headcount'!$F$55)^'App 8_5Yr Headcount'!P$27)</f>
        <v>21103.290187499999</v>
      </c>
    </row>
    <row r="105" spans="2:16" s="25" customFormat="1" ht="12.75">
      <c r="B105" s="339" t="str">
        <f>'App 9_Yr1 Headcount'!C242</f>
        <v>Associate</v>
      </c>
      <c r="C105" s="339" t="str">
        <f>'App 9_Yr1 Headcount'!D242</f>
        <v>FT</v>
      </c>
      <c r="D105" s="48" t="str">
        <f t="shared" ref="D105:D106" si="40">CONCATENATE(B105,C105)</f>
        <v>AssociateFT</v>
      </c>
      <c r="E105" s="456">
        <f>VLOOKUP(D105,'App 9_Yr1 Headcount'!$E$35:$G$50,3,FALSE)</f>
        <v>3750</v>
      </c>
      <c r="F105" s="48">
        <f>VLOOKUP(D105,'App 9_Yr1 Headcount'!$E$241:$F$243,2,FALSE)</f>
        <v>3</v>
      </c>
      <c r="G105" s="559">
        <f t="shared" si="39"/>
        <v>3</v>
      </c>
      <c r="H105" s="559">
        <v>5</v>
      </c>
      <c r="I105" s="559">
        <v>5</v>
      </c>
      <c r="J105" s="559">
        <f t="shared" si="39"/>
        <v>5</v>
      </c>
      <c r="K105" s="456"/>
      <c r="L105" s="456">
        <f>'App 9_Yr1 Headcount'!$H139</f>
        <v>7500</v>
      </c>
      <c r="M105" s="456">
        <f>G105*$E105*((1+'App 9_Yr1 Headcount'!$F$55)^'App 8_5Yr Headcount'!M$27)</f>
        <v>11587.5</v>
      </c>
      <c r="N105" s="456">
        <f>H105*$E105*((1+'App 9_Yr1 Headcount'!$F$55)^'App 8_5Yr Headcount'!N$27)</f>
        <v>19891.875</v>
      </c>
      <c r="O105" s="456">
        <f>I105*$E105*((1+'App 9_Yr1 Headcount'!$F$55)^'App 8_5Yr Headcount'!O$27)</f>
        <v>20488.631249999999</v>
      </c>
      <c r="P105" s="576">
        <f>J105*$E105*((1+'App 9_Yr1 Headcount'!$F$55)^'App 8_5Yr Headcount'!P$27)</f>
        <v>21103.290187499999</v>
      </c>
    </row>
    <row r="106" spans="2:16" s="25" customFormat="1" ht="12.75">
      <c r="B106" s="339" t="str">
        <f>'App 9_Yr1 Headcount'!C243</f>
        <v>Associate</v>
      </c>
      <c r="C106" s="339" t="str">
        <f>'App 9_Yr1 Headcount'!D243</f>
        <v>PT</v>
      </c>
      <c r="D106" s="48" t="str">
        <f t="shared" si="40"/>
        <v>AssociatePT</v>
      </c>
      <c r="E106" s="456">
        <f>VLOOKUP(D106,'App 9_Yr1 Headcount'!$E$35:$G$50,3,FALSE)</f>
        <v>1500</v>
      </c>
      <c r="F106" s="48">
        <f>VLOOKUP(D106,'App 9_Yr1 Headcount'!$E$241:$F$243,2,FALSE)</f>
        <v>6</v>
      </c>
      <c r="G106" s="559">
        <v>6</v>
      </c>
      <c r="H106" s="559">
        <v>8</v>
      </c>
      <c r="I106" s="559">
        <v>8</v>
      </c>
      <c r="J106" s="559">
        <v>8</v>
      </c>
      <c r="K106" s="456"/>
      <c r="L106" s="456">
        <f>'App 9_Yr1 Headcount'!$H140</f>
        <v>5250</v>
      </c>
      <c r="M106" s="456">
        <f>G106*$E106*((1+'App 9_Yr1 Headcount'!$F$55)^'App 8_5Yr Headcount'!M$27)</f>
        <v>9270</v>
      </c>
      <c r="N106" s="456">
        <f>H106*$E106*((1+'App 9_Yr1 Headcount'!$F$55)^'App 8_5Yr Headcount'!N$27)</f>
        <v>12730.8</v>
      </c>
      <c r="O106" s="456">
        <f>I106*$E106*((1+'App 9_Yr1 Headcount'!$F$55)^'App 8_5Yr Headcount'!O$27)</f>
        <v>13112.724</v>
      </c>
      <c r="P106" s="576">
        <f>J106*$E106*((1+'App 9_Yr1 Headcount'!$F$55)^'App 8_5Yr Headcount'!P$27)</f>
        <v>13506.10572</v>
      </c>
    </row>
    <row r="107" spans="2:16" s="25" customFormat="1" ht="12.75">
      <c r="B107" s="342" t="s">
        <v>230</v>
      </c>
      <c r="C107" s="342"/>
      <c r="D107" s="343"/>
      <c r="E107" s="457"/>
      <c r="F107" s="343">
        <f>SUM(F104:F106)</f>
        <v>10</v>
      </c>
      <c r="G107" s="343">
        <f>SUM(G104:G106)</f>
        <v>10</v>
      </c>
      <c r="H107" s="343">
        <f t="shared" ref="H107:J107" si="41">SUM(H104:H106)</f>
        <v>14</v>
      </c>
      <c r="I107" s="343">
        <f t="shared" si="41"/>
        <v>14</v>
      </c>
      <c r="J107" s="343">
        <f t="shared" si="41"/>
        <v>14</v>
      </c>
      <c r="K107" s="457"/>
      <c r="L107" s="457">
        <f>SUM(L104:L106)</f>
        <v>31500</v>
      </c>
      <c r="M107" s="457">
        <f t="shared" ref="M107:P107" si="42">SUM(M104:M106)</f>
        <v>40170</v>
      </c>
      <c r="N107" s="457">
        <f t="shared" si="42"/>
        <v>52514.55</v>
      </c>
      <c r="O107" s="457">
        <f t="shared" si="42"/>
        <v>54089.986499999999</v>
      </c>
      <c r="P107" s="584">
        <f t="shared" si="42"/>
        <v>55712.686094999997</v>
      </c>
    </row>
    <row r="108" spans="2:16" s="25" customFormat="1" ht="12.75"/>
    <row r="109" spans="2:16" s="25" customFormat="1" ht="12.75">
      <c r="B109" s="499" t="s">
        <v>194</v>
      </c>
      <c r="C109" s="524"/>
      <c r="D109" s="524"/>
      <c r="E109" s="524"/>
      <c r="F109" s="524"/>
      <c r="G109" s="524"/>
      <c r="H109" s="524"/>
      <c r="I109" s="524"/>
      <c r="J109" s="524"/>
      <c r="K109" s="530"/>
      <c r="L109" s="524"/>
      <c r="M109" s="524"/>
      <c r="N109" s="524"/>
      <c r="O109" s="524"/>
      <c r="P109" s="529"/>
    </row>
    <row r="110" spans="2:16" s="25" customFormat="1" ht="12.75">
      <c r="B110" s="339" t="str">
        <f>'App 9_Yr1 Headcount'!C245</f>
        <v>Delivery Manager</v>
      </c>
      <c r="C110" s="339" t="str">
        <f>'App 9_Yr1 Headcount'!D245</f>
        <v>FT</v>
      </c>
      <c r="D110" s="48" t="str">
        <f>'App 9_Yr1 Headcount'!E245</f>
        <v>Marketing/Delivery/IT ManagerFT</v>
      </c>
      <c r="E110" s="456">
        <f>VLOOKUP(D110,'App 9_Yr1 Headcount'!$E$35:$G$50,3,FALSE)</f>
        <v>18750</v>
      </c>
      <c r="F110" s="48">
        <f>VLOOKUP(D110,'App 9_Yr1 Headcount'!$E$245:$F$247,2,FALSE)</f>
        <v>1</v>
      </c>
      <c r="G110" s="559">
        <f t="shared" ref="G110:J111" si="43">F110</f>
        <v>1</v>
      </c>
      <c r="H110" s="559">
        <f t="shared" si="43"/>
        <v>1</v>
      </c>
      <c r="I110" s="559">
        <f t="shared" si="43"/>
        <v>1</v>
      </c>
      <c r="J110" s="559">
        <f t="shared" si="43"/>
        <v>1</v>
      </c>
      <c r="K110" s="456"/>
      <c r="L110" s="655">
        <f>'App 9_Yr1 Headcount'!$H142</f>
        <v>18750</v>
      </c>
      <c r="M110" s="456">
        <f>G110*$E110*((1+'App 9_Yr1 Headcount'!$F$55)^'App 8_5Yr Headcount'!M$27)</f>
        <v>19312.5</v>
      </c>
      <c r="N110" s="456">
        <f>H110*$E110*((1+'App 9_Yr1 Headcount'!$F$55)^'App 8_5Yr Headcount'!N$27)</f>
        <v>19891.875</v>
      </c>
      <c r="O110" s="456">
        <f>I110*$E110*((1+'App 9_Yr1 Headcount'!$F$55)^'App 8_5Yr Headcount'!O$27)</f>
        <v>20488.631249999999</v>
      </c>
      <c r="P110" s="576">
        <f>J110*$E110*((1+'App 9_Yr1 Headcount'!$F$55)^'App 8_5Yr Headcount'!P$27)</f>
        <v>21103.290187499999</v>
      </c>
    </row>
    <row r="111" spans="2:16" s="25" customFormat="1" ht="12.75">
      <c r="B111" s="339" t="str">
        <f>'App 9_Yr1 Headcount'!C246</f>
        <v>Associate</v>
      </c>
      <c r="C111" s="339" t="str">
        <f>'App 9_Yr1 Headcount'!D246</f>
        <v>FT</v>
      </c>
      <c r="D111" s="48" t="str">
        <f t="shared" ref="D111:D112" si="44">CONCATENATE(B111,C111)</f>
        <v>AssociateFT</v>
      </c>
      <c r="E111" s="456">
        <f>VLOOKUP(D111,'App 9_Yr1 Headcount'!$E$35:$G$50,3,FALSE)</f>
        <v>3750</v>
      </c>
      <c r="F111" s="48">
        <f>VLOOKUP(D111,'App 9_Yr1 Headcount'!$E$245:$F$247,2,FALSE)</f>
        <v>2</v>
      </c>
      <c r="G111" s="559">
        <f t="shared" si="43"/>
        <v>2</v>
      </c>
      <c r="H111" s="559">
        <v>3</v>
      </c>
      <c r="I111" s="559">
        <v>3</v>
      </c>
      <c r="J111" s="559">
        <f t="shared" si="43"/>
        <v>3</v>
      </c>
      <c r="K111" s="456"/>
      <c r="L111" s="456">
        <f>'App 9_Yr1 Headcount'!$H143</f>
        <v>5625</v>
      </c>
      <c r="M111" s="456">
        <f>G111*$E111*((1+'App 9_Yr1 Headcount'!$F$55)^'App 8_5Yr Headcount'!M$27)</f>
        <v>7725</v>
      </c>
      <c r="N111" s="456">
        <f>H111*$E111*((1+'App 9_Yr1 Headcount'!$F$55)^'App 8_5Yr Headcount'!N$27)</f>
        <v>11935.125</v>
      </c>
      <c r="O111" s="456">
        <f>I111*$E111*((1+'App 9_Yr1 Headcount'!$F$55)^'App 8_5Yr Headcount'!O$27)</f>
        <v>12293.178750000001</v>
      </c>
      <c r="P111" s="576">
        <f>J111*$E111*((1+'App 9_Yr1 Headcount'!$F$55)^'App 8_5Yr Headcount'!P$27)</f>
        <v>12661.974112499998</v>
      </c>
    </row>
    <row r="112" spans="2:16" s="25" customFormat="1" ht="12.75">
      <c r="B112" s="339" t="str">
        <f>'App 9_Yr1 Headcount'!C247</f>
        <v>Associate</v>
      </c>
      <c r="C112" s="339" t="str">
        <f>'App 9_Yr1 Headcount'!D247</f>
        <v>PT</v>
      </c>
      <c r="D112" s="48" t="str">
        <f t="shared" si="44"/>
        <v>AssociatePT</v>
      </c>
      <c r="E112" s="456">
        <f>VLOOKUP(D112,'App 9_Yr1 Headcount'!$E$35:$G$50,3,FALSE)</f>
        <v>1500</v>
      </c>
      <c r="F112" s="48">
        <f>VLOOKUP(D112,'App 9_Yr1 Headcount'!$E$245:$F$247,2,FALSE)</f>
        <v>2</v>
      </c>
      <c r="G112" s="559">
        <f>F112+1</f>
        <v>3</v>
      </c>
      <c r="H112" s="559">
        <v>6</v>
      </c>
      <c r="I112" s="559">
        <v>6</v>
      </c>
      <c r="J112" s="559">
        <v>6</v>
      </c>
      <c r="K112" s="456"/>
      <c r="L112" s="551">
        <f>'App 9_Yr1 Headcount'!$H144</f>
        <v>1500</v>
      </c>
      <c r="M112" s="456">
        <f>G112*$E112*((1+'App 9_Yr1 Headcount'!$F$55)^'App 8_5Yr Headcount'!M$27)</f>
        <v>4635</v>
      </c>
      <c r="N112" s="456">
        <f>H112*$E112*((1+'App 9_Yr1 Headcount'!$F$55)^'App 8_5Yr Headcount'!N$27)</f>
        <v>9548.1</v>
      </c>
      <c r="O112" s="456">
        <f>I112*$E112*((1+'App 9_Yr1 Headcount'!$F$55)^'App 8_5Yr Headcount'!O$27)</f>
        <v>9834.5429999999997</v>
      </c>
      <c r="P112" s="576">
        <f>J112*$E112*((1+'App 9_Yr1 Headcount'!$F$55)^'App 8_5Yr Headcount'!P$27)</f>
        <v>10129.57929</v>
      </c>
    </row>
    <row r="113" spans="2:16" s="25" customFormat="1" ht="12.75">
      <c r="B113" s="342" t="s">
        <v>231</v>
      </c>
      <c r="C113" s="342"/>
      <c r="D113" s="343"/>
      <c r="E113" s="457"/>
      <c r="F113" s="343">
        <f>SUM(F110:F112)</f>
        <v>5</v>
      </c>
      <c r="G113" s="343">
        <f>SUM(G110:G112)</f>
        <v>6</v>
      </c>
      <c r="H113" s="343">
        <f t="shared" ref="H113:J113" si="45">SUM(H110:H112)</f>
        <v>10</v>
      </c>
      <c r="I113" s="343">
        <f t="shared" si="45"/>
        <v>10</v>
      </c>
      <c r="J113" s="343">
        <f t="shared" si="45"/>
        <v>10</v>
      </c>
      <c r="K113" s="457"/>
      <c r="L113" s="457">
        <f>SUM(L110:L112)</f>
        <v>25875</v>
      </c>
      <c r="M113" s="457">
        <f t="shared" ref="M113:P113" si="46">SUM(M110:M112)</f>
        <v>31672.5</v>
      </c>
      <c r="N113" s="457">
        <f t="shared" si="46"/>
        <v>41375.1</v>
      </c>
      <c r="O113" s="457">
        <f t="shared" si="46"/>
        <v>42616.352999999996</v>
      </c>
      <c r="P113" s="584">
        <f t="shared" si="46"/>
        <v>43894.843589999997</v>
      </c>
    </row>
    <row r="114" spans="2:16" s="25" customFormat="1" ht="12.75"/>
    <row r="115" spans="2:16" s="25" customFormat="1" ht="12.75">
      <c r="B115" s="499" t="s">
        <v>196</v>
      </c>
      <c r="C115" s="524"/>
      <c r="D115" s="524"/>
      <c r="E115" s="524"/>
      <c r="F115" s="524"/>
      <c r="G115" s="524"/>
      <c r="H115" s="524"/>
      <c r="I115" s="524"/>
      <c r="J115" s="524"/>
      <c r="K115" s="530"/>
      <c r="L115" s="524"/>
      <c r="M115" s="524"/>
      <c r="N115" s="524"/>
      <c r="O115" s="524"/>
      <c r="P115" s="529"/>
    </row>
    <row r="116" spans="2:16" s="25" customFormat="1" ht="12.75">
      <c r="B116" s="339" t="str">
        <f>'App 9_Yr1 Headcount'!C249</f>
        <v>IT Manager</v>
      </c>
      <c r="C116" s="339" t="str">
        <f>'App 9_Yr1 Headcount'!D249</f>
        <v>FT</v>
      </c>
      <c r="D116" s="48" t="s">
        <v>232</v>
      </c>
      <c r="E116" s="456">
        <f>VLOOKUP(D116,'App 9_Yr1 Headcount'!$E$35:$G$50,3,FALSE)</f>
        <v>18750</v>
      </c>
      <c r="F116" s="48">
        <f>VLOOKUP(D116,'App 9_Yr1 Headcount'!$E$249:$F$251,2,FALSE)</f>
        <v>1</v>
      </c>
      <c r="G116" s="559">
        <f t="shared" ref="G116:J118" si="47">F116</f>
        <v>1</v>
      </c>
      <c r="H116" s="559">
        <f t="shared" si="47"/>
        <v>1</v>
      </c>
      <c r="I116" s="559">
        <f t="shared" si="47"/>
        <v>1</v>
      </c>
      <c r="J116" s="559">
        <f t="shared" si="47"/>
        <v>1</v>
      </c>
      <c r="K116" s="456"/>
      <c r="L116" s="655">
        <f>'App 9_Yr1 Headcount'!$H146</f>
        <v>18750</v>
      </c>
      <c r="M116" s="456">
        <f>G116*$E116*((1+'App 9_Yr1 Headcount'!$F$55)^'App 8_5Yr Headcount'!M$27)</f>
        <v>19312.5</v>
      </c>
      <c r="N116" s="456">
        <f>H116*$E116*((1+'App 9_Yr1 Headcount'!$F$55)^'App 8_5Yr Headcount'!N$27)</f>
        <v>19891.875</v>
      </c>
      <c r="O116" s="456">
        <f>I116*$E116*((1+'App 9_Yr1 Headcount'!$F$55)^'App 8_5Yr Headcount'!O$27)</f>
        <v>20488.631249999999</v>
      </c>
      <c r="P116" s="576">
        <f>J116*$E116*((1+'App 9_Yr1 Headcount'!$F$55)^'App 8_5Yr Headcount'!P$27)</f>
        <v>21103.290187499999</v>
      </c>
    </row>
    <row r="117" spans="2:16" s="25" customFormat="1" ht="12.75">
      <c r="B117" s="339" t="str">
        <f>'App 9_Yr1 Headcount'!C250</f>
        <v>Associate</v>
      </c>
      <c r="C117" s="339" t="str">
        <f>'App 9_Yr1 Headcount'!D250</f>
        <v>FT</v>
      </c>
      <c r="D117" s="48" t="str">
        <f t="shared" ref="D117:D118" si="48">CONCATENATE(B117,C117)</f>
        <v>AssociateFT</v>
      </c>
      <c r="E117" s="456">
        <f>VLOOKUP(D117,'App 9_Yr1 Headcount'!$E$35:$G$50,3,FALSE)</f>
        <v>3750</v>
      </c>
      <c r="F117" s="48">
        <f>VLOOKUP(D117,'App 9_Yr1 Headcount'!$E$249:$F$251,2,FALSE)</f>
        <v>1</v>
      </c>
      <c r="G117" s="559">
        <f t="shared" si="47"/>
        <v>1</v>
      </c>
      <c r="H117" s="559">
        <f t="shared" si="47"/>
        <v>1</v>
      </c>
      <c r="I117" s="559">
        <f t="shared" si="47"/>
        <v>1</v>
      </c>
      <c r="J117" s="559">
        <f t="shared" si="47"/>
        <v>1</v>
      </c>
      <c r="K117" s="456"/>
      <c r="L117" s="456">
        <f>'App 9_Yr1 Headcount'!$H147</f>
        <v>2187.5</v>
      </c>
      <c r="M117" s="456">
        <f>G117*$E117*((1+'App 9_Yr1 Headcount'!$F$55)^'App 8_5Yr Headcount'!M$27)</f>
        <v>3862.5</v>
      </c>
      <c r="N117" s="456">
        <f>H117*$E117*((1+'App 9_Yr1 Headcount'!$F$55)^'App 8_5Yr Headcount'!N$27)</f>
        <v>3978.375</v>
      </c>
      <c r="O117" s="456">
        <f>I117*$E117*((1+'App 9_Yr1 Headcount'!$F$55)^'App 8_5Yr Headcount'!O$27)</f>
        <v>4097.7262499999997</v>
      </c>
      <c r="P117" s="576">
        <f>J117*$E117*((1+'App 9_Yr1 Headcount'!$F$55)^'App 8_5Yr Headcount'!P$27)</f>
        <v>4220.6580374999994</v>
      </c>
    </row>
    <row r="118" spans="2:16" s="25" customFormat="1" ht="12.75">
      <c r="B118" s="339" t="str">
        <f>'App 9_Yr1 Headcount'!C251</f>
        <v>Associate</v>
      </c>
      <c r="C118" s="339" t="str">
        <f>'App 9_Yr1 Headcount'!D251</f>
        <v>PT</v>
      </c>
      <c r="D118" s="48" t="str">
        <f t="shared" si="48"/>
        <v>AssociatePT</v>
      </c>
      <c r="E118" s="456">
        <f>VLOOKUP(D118,'App 9_Yr1 Headcount'!$E$35:$G$50,3,FALSE)</f>
        <v>1500</v>
      </c>
      <c r="F118" s="48">
        <f>VLOOKUP(D118,'App 9_Yr1 Headcount'!$E$249:$F$251,2,FALSE)</f>
        <v>0</v>
      </c>
      <c r="G118" s="559">
        <f t="shared" si="47"/>
        <v>0</v>
      </c>
      <c r="H118" s="559">
        <f t="shared" si="47"/>
        <v>0</v>
      </c>
      <c r="I118" s="559">
        <f t="shared" si="47"/>
        <v>0</v>
      </c>
      <c r="J118" s="559">
        <f t="shared" si="47"/>
        <v>0</v>
      </c>
      <c r="K118" s="456"/>
      <c r="L118" s="551">
        <f>'App 9_Yr1 Headcount'!$H148</f>
        <v>0</v>
      </c>
      <c r="M118" s="456">
        <f>G118*$E118*((1+'App 9_Yr1 Headcount'!$F$55)^'App 8_5Yr Headcount'!M$27)</f>
        <v>0</v>
      </c>
      <c r="N118" s="456">
        <f>H118*$E118*((1+'App 9_Yr1 Headcount'!$F$55)^'App 8_5Yr Headcount'!N$27)</f>
        <v>0</v>
      </c>
      <c r="O118" s="456">
        <f>I118*$E118*((1+'App 9_Yr1 Headcount'!$F$55)^'App 8_5Yr Headcount'!O$27)</f>
        <v>0</v>
      </c>
      <c r="P118" s="576">
        <f>J118*$E118*((1+'App 9_Yr1 Headcount'!$F$55)^'App 8_5Yr Headcount'!P$27)</f>
        <v>0</v>
      </c>
    </row>
    <row r="119" spans="2:16" s="25" customFormat="1" ht="12.75">
      <c r="B119" s="342" t="s">
        <v>233</v>
      </c>
      <c r="C119" s="342"/>
      <c r="D119" s="343"/>
      <c r="E119" s="457"/>
      <c r="F119" s="343">
        <f>SUM(F116:F118)</f>
        <v>2</v>
      </c>
      <c r="G119" s="343">
        <f>SUM(G116:G118)</f>
        <v>2</v>
      </c>
      <c r="H119" s="343">
        <f t="shared" ref="H119:J119" si="49">SUM(H116:H118)</f>
        <v>2</v>
      </c>
      <c r="I119" s="343">
        <f t="shared" si="49"/>
        <v>2</v>
      </c>
      <c r="J119" s="343">
        <f t="shared" si="49"/>
        <v>2</v>
      </c>
      <c r="K119" s="457"/>
      <c r="L119" s="457">
        <f>SUM(L116:L118)</f>
        <v>20937.5</v>
      </c>
      <c r="M119" s="457">
        <f t="shared" ref="M119:P119" si="50">SUM(M116:M118)</f>
        <v>23175</v>
      </c>
      <c r="N119" s="457">
        <f t="shared" si="50"/>
        <v>23870.25</v>
      </c>
      <c r="O119" s="457">
        <f t="shared" si="50"/>
        <v>24586.357499999998</v>
      </c>
      <c r="P119" s="584">
        <f t="shared" si="50"/>
        <v>25323.948225</v>
      </c>
    </row>
    <row r="120" spans="2:16" s="25" customFormat="1" ht="12.75"/>
    <row r="121" spans="2:16" s="25" customFormat="1" ht="12.75">
      <c r="B121" s="499" t="s">
        <v>198</v>
      </c>
      <c r="C121" s="524"/>
      <c r="D121" s="524"/>
      <c r="E121" s="524"/>
      <c r="F121" s="524"/>
      <c r="G121" s="524"/>
      <c r="H121" s="524"/>
      <c r="I121" s="524"/>
      <c r="J121" s="524"/>
      <c r="K121" s="530"/>
      <c r="L121" s="524"/>
      <c r="M121" s="524"/>
      <c r="N121" s="524"/>
      <c r="O121" s="524"/>
      <c r="P121" s="529"/>
    </row>
    <row r="122" spans="2:16" s="25" customFormat="1" ht="12.75">
      <c r="B122" s="339" t="str">
        <f>'App 9_Yr1 Headcount'!C253</f>
        <v>Reception</v>
      </c>
      <c r="C122" s="339" t="str">
        <f>'App 9_Yr1 Headcount'!D253</f>
        <v>FT</v>
      </c>
      <c r="D122" s="48" t="str">
        <f t="shared" ref="D122:D127" si="51">CONCATENATE(B122,C122)</f>
        <v>ReceptionFT</v>
      </c>
      <c r="E122" s="456">
        <f>IF('App 8_5Yr Headcount'!C122="FT",'App 9_Yr1 Headcount'!$G$49,'App 9_Yr1 Headcount'!$G$50)</f>
        <v>1250</v>
      </c>
      <c r="F122" s="48">
        <f>VLOOKUP(B122,'App 9_Yr1 Headcount'!$C$253:$F$258,4,FALSE)</f>
        <v>4</v>
      </c>
      <c r="G122" s="559">
        <f t="shared" ref="G122:J127" si="52">F122</f>
        <v>4</v>
      </c>
      <c r="H122" s="559">
        <v>6</v>
      </c>
      <c r="I122" s="559">
        <v>6</v>
      </c>
      <c r="J122" s="559">
        <v>6</v>
      </c>
      <c r="K122" s="456"/>
      <c r="L122" s="655">
        <f>'App 9_Yr1 Headcount'!$H150</f>
        <v>3749.9999999999995</v>
      </c>
      <c r="M122" s="456">
        <f>G122*$E122*((1+'App 9_Yr1 Headcount'!$F$55)^'App 8_5Yr Headcount'!M$27)</f>
        <v>5150</v>
      </c>
      <c r="N122" s="456">
        <f>H122*$E122*((1+'App 9_Yr1 Headcount'!$F$55)^'App 8_5Yr Headcount'!N$27)</f>
        <v>7956.75</v>
      </c>
      <c r="O122" s="456">
        <f>I122*$E122*((1+'App 9_Yr1 Headcount'!$F$55)^'App 8_5Yr Headcount'!O$27)</f>
        <v>8195.4524999999994</v>
      </c>
      <c r="P122" s="576">
        <f>J122*$E122*((1+'App 9_Yr1 Headcount'!$F$55)^'App 8_5Yr Headcount'!P$27)</f>
        <v>8441.3160749999988</v>
      </c>
    </row>
    <row r="123" spans="2:16" s="25" customFormat="1" ht="12.75">
      <c r="B123" s="339" t="str">
        <f>'App 9_Yr1 Headcount'!C254</f>
        <v>Cleaners</v>
      </c>
      <c r="C123" s="339" t="str">
        <f>'App 9_Yr1 Headcount'!D254</f>
        <v>PT</v>
      </c>
      <c r="D123" s="48" t="str">
        <f t="shared" si="51"/>
        <v>CleanersPT</v>
      </c>
      <c r="E123" s="456">
        <f>IF('App 8_5Yr Headcount'!C123="FT",'App 9_Yr1 Headcount'!$G$49,'App 9_Yr1 Headcount'!$G$50)</f>
        <v>500</v>
      </c>
      <c r="F123" s="48">
        <f>VLOOKUP(B123,'App 9_Yr1 Headcount'!$C$253:$F$258,4,FALSE)</f>
        <v>1</v>
      </c>
      <c r="G123" s="559">
        <f t="shared" si="52"/>
        <v>1</v>
      </c>
      <c r="H123" s="559">
        <v>2</v>
      </c>
      <c r="I123" s="559">
        <v>2</v>
      </c>
      <c r="J123" s="559">
        <f t="shared" si="52"/>
        <v>2</v>
      </c>
      <c r="K123" s="456"/>
      <c r="L123" s="456">
        <f>'App 9_Yr1 Headcount'!$H151</f>
        <v>500.00000000000006</v>
      </c>
      <c r="M123" s="456">
        <f>G123*$E123*((1+'App 9_Yr1 Headcount'!$F$55)^'App 8_5Yr Headcount'!M$27)</f>
        <v>515</v>
      </c>
      <c r="N123" s="456">
        <f>H123*$E123*((1+'App 9_Yr1 Headcount'!$F$55)^'App 8_5Yr Headcount'!N$27)</f>
        <v>1060.8999999999999</v>
      </c>
      <c r="O123" s="456">
        <f>I123*$E123*((1+'App 9_Yr1 Headcount'!$F$55)^'App 8_5Yr Headcount'!O$27)</f>
        <v>1092.7270000000001</v>
      </c>
      <c r="P123" s="576">
        <f>J123*$E123*((1+'App 9_Yr1 Headcount'!$F$55)^'App 8_5Yr Headcount'!P$27)</f>
        <v>1125.5088099999998</v>
      </c>
    </row>
    <row r="124" spans="2:16" s="25" customFormat="1" ht="12.75">
      <c r="B124" s="339" t="str">
        <f>'App 9_Yr1 Headcount'!C255</f>
        <v>General Drivers</v>
      </c>
      <c r="C124" s="339" t="str">
        <f>'App 9_Yr1 Headcount'!D255</f>
        <v>FT</v>
      </c>
      <c r="D124" s="48" t="str">
        <f t="shared" si="51"/>
        <v>General DriversFT</v>
      </c>
      <c r="E124" s="456">
        <f>IF('App 8_5Yr Headcount'!C124="FT",'App 9_Yr1 Headcount'!$G$49,'App 9_Yr1 Headcount'!$G$50)</f>
        <v>1250</v>
      </c>
      <c r="F124" s="48">
        <f>VLOOKUP(B124,'App 9_Yr1 Headcount'!$C$253:$F$258,4,FALSE)</f>
        <v>1</v>
      </c>
      <c r="G124" s="559">
        <f t="shared" si="52"/>
        <v>1</v>
      </c>
      <c r="H124" s="559">
        <f t="shared" si="52"/>
        <v>1</v>
      </c>
      <c r="I124" s="559">
        <f t="shared" si="52"/>
        <v>1</v>
      </c>
      <c r="J124" s="559">
        <f t="shared" si="52"/>
        <v>1</v>
      </c>
      <c r="K124" s="456"/>
      <c r="L124" s="456">
        <f>'App 9_Yr1 Headcount'!$H152</f>
        <v>1041.6666666666665</v>
      </c>
      <c r="M124" s="456">
        <f>G124*$E124*((1+'App 9_Yr1 Headcount'!$F$55)^'App 8_5Yr Headcount'!M$27)</f>
        <v>1287.5</v>
      </c>
      <c r="N124" s="456">
        <f>H124*$E124*((1+'App 9_Yr1 Headcount'!$F$55)^'App 8_5Yr Headcount'!N$27)</f>
        <v>1326.125</v>
      </c>
      <c r="O124" s="456">
        <f>I124*$E124*((1+'App 9_Yr1 Headcount'!$F$55)^'App 8_5Yr Headcount'!O$27)</f>
        <v>1365.9087500000001</v>
      </c>
      <c r="P124" s="576">
        <f>J124*$E124*((1+'App 9_Yr1 Headcount'!$F$55)^'App 8_5Yr Headcount'!P$27)</f>
        <v>1406.8860124999999</v>
      </c>
    </row>
    <row r="125" spans="2:16" s="25" customFormat="1" ht="12.75">
      <c r="B125" s="339" t="str">
        <f>'App 9_Yr1 Headcount'!C256</f>
        <v>Security</v>
      </c>
      <c r="C125" s="339" t="str">
        <f>'App 9_Yr1 Headcount'!D256</f>
        <v>PT</v>
      </c>
      <c r="D125" s="48" t="str">
        <f t="shared" si="51"/>
        <v>SecurityPT</v>
      </c>
      <c r="E125" s="456">
        <f>IF('App 8_5Yr Headcount'!C125="FT",'App 9_Yr1 Headcount'!$G$49,'App 9_Yr1 Headcount'!$G$50)</f>
        <v>500</v>
      </c>
      <c r="F125" s="48">
        <f>VLOOKUP(B125,'App 9_Yr1 Headcount'!$C$253:$F$258,4,FALSE)</f>
        <v>1</v>
      </c>
      <c r="G125" s="559">
        <v>2</v>
      </c>
      <c r="H125" s="559">
        <f t="shared" si="52"/>
        <v>2</v>
      </c>
      <c r="I125" s="559">
        <v>3</v>
      </c>
      <c r="J125" s="559">
        <f t="shared" si="52"/>
        <v>3</v>
      </c>
      <c r="K125" s="456"/>
      <c r="L125" s="456">
        <f>'App 9_Yr1 Headcount'!$H153</f>
        <v>500.00000000000006</v>
      </c>
      <c r="M125" s="456">
        <f>G125*$E125*((1+'App 9_Yr1 Headcount'!$F$55)^'App 8_5Yr Headcount'!M$27)</f>
        <v>1030</v>
      </c>
      <c r="N125" s="456">
        <f>H125*$E125*((1+'App 9_Yr1 Headcount'!$F$55)^'App 8_5Yr Headcount'!N$27)</f>
        <v>1060.8999999999999</v>
      </c>
      <c r="O125" s="456">
        <f>I125*$E125*((1+'App 9_Yr1 Headcount'!$F$55)^'App 8_5Yr Headcount'!O$27)</f>
        <v>1639.0905</v>
      </c>
      <c r="P125" s="576">
        <f>J125*$E125*((1+'App 9_Yr1 Headcount'!$F$55)^'App 8_5Yr Headcount'!P$27)</f>
        <v>1688.2632149999999</v>
      </c>
    </row>
    <row r="126" spans="2:16" s="25" customFormat="1" ht="12.75">
      <c r="B126" s="339" t="str">
        <f>'App 9_Yr1 Headcount'!C257</f>
        <v>Parking</v>
      </c>
      <c r="C126" s="339" t="str">
        <f>'App 9_Yr1 Headcount'!D257</f>
        <v>PT</v>
      </c>
      <c r="D126" s="48" t="str">
        <f t="shared" si="51"/>
        <v>ParkingPT</v>
      </c>
      <c r="E126" s="456">
        <f>IF('App 8_5Yr Headcount'!C126="FT",'App 9_Yr1 Headcount'!$G$49,'App 9_Yr1 Headcount'!$G$50)</f>
        <v>500</v>
      </c>
      <c r="F126" s="48">
        <f>VLOOKUP(B126,'App 9_Yr1 Headcount'!$C$253:$F$258,4,FALSE)</f>
        <v>2</v>
      </c>
      <c r="G126" s="559">
        <f t="shared" si="52"/>
        <v>2</v>
      </c>
      <c r="H126" s="559">
        <f t="shared" si="52"/>
        <v>2</v>
      </c>
      <c r="I126" s="559">
        <v>4</v>
      </c>
      <c r="J126" s="559">
        <f t="shared" si="52"/>
        <v>4</v>
      </c>
      <c r="K126" s="456"/>
      <c r="L126" s="456">
        <f>'App 9_Yr1 Headcount'!$H154</f>
        <v>750</v>
      </c>
      <c r="M126" s="456">
        <f>G126*$E126*((1+'App 9_Yr1 Headcount'!$F$55)^'App 8_5Yr Headcount'!M$27)</f>
        <v>1030</v>
      </c>
      <c r="N126" s="456">
        <f>H126*$E126*((1+'App 9_Yr1 Headcount'!$F$55)^'App 8_5Yr Headcount'!N$27)</f>
        <v>1060.8999999999999</v>
      </c>
      <c r="O126" s="456">
        <f>I126*$E126*((1+'App 9_Yr1 Headcount'!$F$55)^'App 8_5Yr Headcount'!O$27)</f>
        <v>2185.4540000000002</v>
      </c>
      <c r="P126" s="576">
        <f>J126*$E126*((1+'App 9_Yr1 Headcount'!$F$55)^'App 8_5Yr Headcount'!P$27)</f>
        <v>2251.0176199999996</v>
      </c>
    </row>
    <row r="127" spans="2:16" s="25" customFormat="1" ht="12.75">
      <c r="B127" s="339" t="str">
        <f>'App 9_Yr1 Headcount'!C258</f>
        <v>Laundry</v>
      </c>
      <c r="C127" s="339" t="str">
        <f>'App 9_Yr1 Headcount'!D258</f>
        <v>PT</v>
      </c>
      <c r="D127" s="48" t="str">
        <f t="shared" si="51"/>
        <v>LaundryPT</v>
      </c>
      <c r="E127" s="456">
        <f>IF('App 8_5Yr Headcount'!C127="FT",'App 9_Yr1 Headcount'!$G$49,'App 9_Yr1 Headcount'!$G$50)</f>
        <v>500</v>
      </c>
      <c r="F127" s="48">
        <f>VLOOKUP(B127,'App 9_Yr1 Headcount'!$C$253:$F$258,4,FALSE)</f>
        <v>1</v>
      </c>
      <c r="G127" s="559">
        <f t="shared" si="52"/>
        <v>1</v>
      </c>
      <c r="H127" s="559">
        <v>2</v>
      </c>
      <c r="I127" s="559">
        <v>2</v>
      </c>
      <c r="J127" s="559">
        <f t="shared" si="52"/>
        <v>2</v>
      </c>
      <c r="K127" s="456"/>
      <c r="L127" s="551">
        <f>'App 9_Yr1 Headcount'!$H155</f>
        <v>500.00000000000006</v>
      </c>
      <c r="M127" s="456">
        <f>G127*$E127*((1+'App 9_Yr1 Headcount'!$F$55)^'App 8_5Yr Headcount'!M$27)</f>
        <v>515</v>
      </c>
      <c r="N127" s="456">
        <f>H127*$E127*((1+'App 9_Yr1 Headcount'!$F$55)^'App 8_5Yr Headcount'!N$27)</f>
        <v>1060.8999999999999</v>
      </c>
      <c r="O127" s="456">
        <f>I127*$E127*((1+'App 9_Yr1 Headcount'!$F$55)^'App 8_5Yr Headcount'!O$27)</f>
        <v>1092.7270000000001</v>
      </c>
      <c r="P127" s="576">
        <f>J127*$E127*((1+'App 9_Yr1 Headcount'!$F$55)^'App 8_5Yr Headcount'!P$27)</f>
        <v>1125.5088099999998</v>
      </c>
    </row>
    <row r="128" spans="2:16" s="25" customFormat="1" ht="12.75">
      <c r="B128" s="342" t="s">
        <v>234</v>
      </c>
      <c r="C128" s="342"/>
      <c r="D128" s="343"/>
      <c r="E128" s="457"/>
      <c r="F128" s="343">
        <f>SUM(F122:F127)</f>
        <v>10</v>
      </c>
      <c r="G128" s="343">
        <f t="shared" ref="G128:J128" si="53">SUM(G122:G127)</f>
        <v>11</v>
      </c>
      <c r="H128" s="343">
        <f t="shared" si="53"/>
        <v>15</v>
      </c>
      <c r="I128" s="343">
        <f t="shared" si="53"/>
        <v>18</v>
      </c>
      <c r="J128" s="343">
        <f t="shared" si="53"/>
        <v>18</v>
      </c>
      <c r="K128" s="457"/>
      <c r="L128" s="457">
        <f>SUM(L122:L127)</f>
        <v>7041.6666666666661</v>
      </c>
      <c r="M128" s="457">
        <f t="shared" ref="M128:P128" si="54">SUM(M122:M127)</f>
        <v>9527.5</v>
      </c>
      <c r="N128" s="457">
        <f t="shared" si="54"/>
        <v>13526.474999999999</v>
      </c>
      <c r="O128" s="457">
        <f t="shared" si="54"/>
        <v>15571.359750000001</v>
      </c>
      <c r="P128" s="584">
        <f t="shared" si="54"/>
        <v>16038.500542499994</v>
      </c>
    </row>
    <row r="129" spans="2:16" s="25" customFormat="1" ht="12.75"/>
    <row r="130" spans="2:16" s="25" customFormat="1" ht="12.75">
      <c r="B130" s="768" t="s">
        <v>330</v>
      </c>
      <c r="C130" s="524"/>
      <c r="D130" s="769"/>
      <c r="E130" s="524"/>
      <c r="F130" s="789" t="s">
        <v>29</v>
      </c>
      <c r="G130" s="789" t="s">
        <v>30</v>
      </c>
      <c r="H130" s="789" t="s">
        <v>31</v>
      </c>
      <c r="I130" s="789" t="s">
        <v>32</v>
      </c>
      <c r="J130" s="790" t="s">
        <v>33</v>
      </c>
      <c r="K130" s="48"/>
      <c r="L130" s="252" t="s">
        <v>238</v>
      </c>
      <c r="M130" s="48"/>
      <c r="N130" s="48"/>
      <c r="O130" s="48"/>
      <c r="P130" s="48"/>
    </row>
    <row r="131" spans="2:16" s="25" customFormat="1" ht="12.75">
      <c r="B131" s="770" t="s">
        <v>336</v>
      </c>
      <c r="C131" s="455"/>
      <c r="D131" s="751"/>
      <c r="E131" s="751"/>
      <c r="F131" s="751">
        <f>SUMIF($B$37:$B$128,$B$61,F$37:F$128)</f>
        <v>12</v>
      </c>
      <c r="G131" s="751">
        <f>SUMIF($B$37:$B$128,$B$61,G$37:G$128)</f>
        <v>13</v>
      </c>
      <c r="H131" s="751">
        <f>SUMIF($B$37:$B$128,$B$61,H$37:H$128)</f>
        <v>26</v>
      </c>
      <c r="I131" s="751">
        <f>SUMIF($B$37:$B$128,$B$61,I$37:I$128)</f>
        <v>26</v>
      </c>
      <c r="J131" s="752">
        <f>SUMIF($B$37:$B$128,$B$61,J$37:J$128)</f>
        <v>26</v>
      </c>
      <c r="K131" s="547"/>
      <c r="L131" s="791">
        <f>F131-'App 9_Yr1 Headcount'!V265</f>
        <v>0</v>
      </c>
      <c r="M131" s="547"/>
      <c r="N131" s="547"/>
      <c r="O131" s="547"/>
      <c r="P131" s="547"/>
    </row>
    <row r="132" spans="2:16" s="25" customFormat="1" ht="12.75">
      <c r="B132" s="771" t="s">
        <v>337</v>
      </c>
      <c r="C132" s="48"/>
      <c r="D132" s="547"/>
      <c r="E132" s="547"/>
      <c r="F132" s="547">
        <f>SUMIF($B$37:$B$128,$B$93,F$37:F$128)</f>
        <v>11</v>
      </c>
      <c r="G132" s="547">
        <f>SUMIF($B$37:$B$128,$B$93,G$37:G$128)</f>
        <v>11</v>
      </c>
      <c r="H132" s="547">
        <f>SUMIF($B$37:$B$128,$B$93,H$37:H$128)</f>
        <v>20</v>
      </c>
      <c r="I132" s="547">
        <f>SUMIF($B$37:$B$128,$B$93,I$37:I$128)</f>
        <v>25</v>
      </c>
      <c r="J132" s="737">
        <f>SUMIF($B$37:$B$128,$B$93,J$37:J$128)</f>
        <v>30</v>
      </c>
      <c r="K132" s="547"/>
      <c r="L132" s="791">
        <f>F132-'App 9_Yr1 Headcount'!V266</f>
        <v>0</v>
      </c>
      <c r="M132" s="547"/>
      <c r="N132" s="547"/>
      <c r="O132" s="547"/>
      <c r="P132" s="547"/>
    </row>
    <row r="133" spans="2:16" s="25" customFormat="1" ht="12.75">
      <c r="B133" s="771" t="s">
        <v>338</v>
      </c>
      <c r="C133" s="48"/>
      <c r="D133" s="547"/>
      <c r="E133" s="547"/>
      <c r="F133" s="547">
        <f>SUMIF($B$37:$B$128,$B$98,F$37:F$128)</f>
        <v>13</v>
      </c>
      <c r="G133" s="547">
        <f>SUMIF($B$37:$B$128,$B$98,G$37:G$128)</f>
        <v>14</v>
      </c>
      <c r="H133" s="547">
        <f>SUMIF($B$37:$B$128,$B$98,H$37:H$128)</f>
        <v>23</v>
      </c>
      <c r="I133" s="547">
        <f>SUMIF($B$37:$B$128,$B$98,I$37:I$128)</f>
        <v>23</v>
      </c>
      <c r="J133" s="737">
        <f>SUMIF($B$37:$B$128,$B$98,J$37:J$128)</f>
        <v>23</v>
      </c>
      <c r="K133" s="547"/>
      <c r="L133" s="791">
        <f>F133-'App 9_Yr1 Headcount'!V267</f>
        <v>0</v>
      </c>
      <c r="M133" s="547"/>
      <c r="N133" s="547"/>
      <c r="O133" s="547"/>
      <c r="P133" s="547"/>
    </row>
    <row r="134" spans="2:16" s="25" customFormat="1" ht="12.75">
      <c r="B134" s="771" t="s">
        <v>343</v>
      </c>
      <c r="C134" s="48"/>
      <c r="D134" s="547"/>
      <c r="E134" s="547"/>
      <c r="F134" s="547">
        <f>F135-SUM(F136:F138)</f>
        <v>26</v>
      </c>
      <c r="G134" s="547">
        <f t="shared" ref="G134:J134" si="55">G135-SUM(G136:G138)</f>
        <v>27</v>
      </c>
      <c r="H134" s="547">
        <f t="shared" si="55"/>
        <v>41</v>
      </c>
      <c r="I134" s="547">
        <f t="shared" si="55"/>
        <v>41</v>
      </c>
      <c r="J134" s="737">
        <f t="shared" si="55"/>
        <v>41</v>
      </c>
      <c r="K134" s="547"/>
      <c r="L134" s="791">
        <f>F134-'App 9_Yr1 Headcount'!V268</f>
        <v>0</v>
      </c>
      <c r="M134" s="547"/>
      <c r="N134" s="547"/>
      <c r="O134" s="547"/>
      <c r="P134" s="547"/>
    </row>
    <row r="135" spans="2:16" s="25" customFormat="1" ht="12.75">
      <c r="B135" s="770" t="s">
        <v>342</v>
      </c>
      <c r="C135" s="455"/>
      <c r="D135" s="751"/>
      <c r="E135" s="751"/>
      <c r="F135" s="751">
        <f>SUMIF($C$37:$C$128,$C$111,F$37:F$128)</f>
        <v>58</v>
      </c>
      <c r="G135" s="751">
        <f>SUMIF($C$37:$C$128,$C$111,G$37:G$128)</f>
        <v>61</v>
      </c>
      <c r="H135" s="751">
        <f>SUMIF($C$37:$C$128,$C$111,H$37:H$128)</f>
        <v>98</v>
      </c>
      <c r="I135" s="751">
        <f>SUMIF($C$37:$C$128,$C$111,I$37:I$128)</f>
        <v>103</v>
      </c>
      <c r="J135" s="752">
        <f>SUMIF($C$37:$C$128,$C$111,J$37:J$128)</f>
        <v>108</v>
      </c>
      <c r="K135" s="547"/>
      <c r="L135" s="791">
        <f>F135-'App 9_Yr1 Headcount'!V269</f>
        <v>0</v>
      </c>
      <c r="M135" s="547"/>
      <c r="N135" s="547"/>
      <c r="O135" s="547"/>
      <c r="P135" s="547"/>
    </row>
    <row r="136" spans="2:16" s="25" customFormat="1" ht="12.75">
      <c r="B136" s="771" t="s">
        <v>339</v>
      </c>
      <c r="C136" s="48"/>
      <c r="D136" s="547"/>
      <c r="E136" s="547"/>
      <c r="F136" s="547">
        <f>SUMIF($D$37:$D$128,$D$84,F$37:F$128)</f>
        <v>8</v>
      </c>
      <c r="G136" s="547">
        <f>SUMIF($D$37:$D$128,$D$84,G$37:G$128)</f>
        <v>9</v>
      </c>
      <c r="H136" s="547">
        <f>SUMIF($D$37:$D$128,$D$84,H$37:H$128)</f>
        <v>14</v>
      </c>
      <c r="I136" s="547">
        <f>SUMIF($D$37:$D$128,$D$84,I$37:I$128)</f>
        <v>14</v>
      </c>
      <c r="J136" s="737">
        <f>SUMIF($D$37:$D$128,$D$84,J$37:J$128)</f>
        <v>14</v>
      </c>
      <c r="K136" s="547"/>
      <c r="L136" s="791">
        <f>F136-'App 9_Yr1 Headcount'!V270</f>
        <v>0</v>
      </c>
      <c r="M136" s="547"/>
      <c r="N136" s="547"/>
      <c r="O136" s="547"/>
      <c r="P136" s="547"/>
    </row>
    <row r="137" spans="2:16" s="25" customFormat="1" ht="12.75">
      <c r="B137" s="771" t="s">
        <v>340</v>
      </c>
      <c r="C137" s="48"/>
      <c r="D137" s="547"/>
      <c r="E137" s="547"/>
      <c r="F137" s="547">
        <f>SUMIF($D$37:$D$128,$D$99,F$37:F$128)</f>
        <v>11</v>
      </c>
      <c r="G137" s="547">
        <f>SUMIF($D$37:$D$128,$D$99,G$37:G$128)</f>
        <v>11</v>
      </c>
      <c r="H137" s="547">
        <f>SUMIF($D$37:$D$128,$D$99,H$37:H$128)</f>
        <v>20</v>
      </c>
      <c r="I137" s="547">
        <f>SUMIF($D$37:$D$128,$D$99,I$37:I$128)</f>
        <v>25</v>
      </c>
      <c r="J137" s="737">
        <f>SUMIF($D$37:$D$128,$D$99,J$37:J$128)</f>
        <v>30</v>
      </c>
      <c r="K137" s="547"/>
      <c r="L137" s="791">
        <f>F137-'App 9_Yr1 Headcount'!V271</f>
        <v>0</v>
      </c>
      <c r="M137" s="547"/>
      <c r="N137" s="547"/>
      <c r="O137" s="547"/>
      <c r="P137" s="547"/>
    </row>
    <row r="138" spans="2:16" s="25" customFormat="1" ht="12.75">
      <c r="B138" s="771" t="s">
        <v>341</v>
      </c>
      <c r="C138" s="48"/>
      <c r="D138" s="547"/>
      <c r="E138" s="547"/>
      <c r="F138" s="547">
        <f>SUMIF($D$37:$D$128,$D$98,F$37:F$128)</f>
        <v>13</v>
      </c>
      <c r="G138" s="547">
        <f>SUMIF($D$37:$D$128,$D$98,G$37:G$128)</f>
        <v>14</v>
      </c>
      <c r="H138" s="547">
        <f>SUMIF($D$37:$D$128,$D$98,H$37:H$128)</f>
        <v>23</v>
      </c>
      <c r="I138" s="547">
        <f>SUMIF($D$37:$D$128,$D$98,I$37:I$128)</f>
        <v>23</v>
      </c>
      <c r="J138" s="737">
        <f>SUMIF($D$37:$D$128,$D$98,J$37:J$128)</f>
        <v>23</v>
      </c>
      <c r="K138" s="547"/>
      <c r="L138" s="791">
        <f>F138-'App 9_Yr1 Headcount'!V272</f>
        <v>0</v>
      </c>
      <c r="M138" s="547"/>
      <c r="N138" s="547"/>
      <c r="O138" s="547"/>
      <c r="P138" s="547"/>
    </row>
    <row r="139" spans="2:16" s="25" customFormat="1" ht="12.75">
      <c r="B139" s="60"/>
      <c r="C139" s="61"/>
      <c r="D139" s="61"/>
      <c r="E139" s="61"/>
      <c r="F139" s="61"/>
      <c r="G139" s="61"/>
      <c r="H139" s="61"/>
      <c r="I139" s="61"/>
      <c r="J139" s="71"/>
      <c r="K139" s="48"/>
      <c r="L139" s="791">
        <f>F139-'App 9_Yr1 Headcount'!V273</f>
        <v>0</v>
      </c>
      <c r="M139" s="48"/>
      <c r="N139" s="48"/>
      <c r="O139" s="48"/>
      <c r="P139" s="48"/>
    </row>
    <row r="140" spans="2:16" s="25" customFormat="1" ht="12.75"/>
    <row r="141" spans="2:16" s="25" customFormat="1" ht="12.75"/>
    <row r="142" spans="2:16" s="25" customFormat="1" ht="12.75"/>
  </sheetData>
  <mergeCells count="2">
    <mergeCell ref="F6:J6"/>
    <mergeCell ref="L6:P6"/>
  </mergeCells>
  <pageMargins left="0.7" right="0.7" top="0.75" bottom="0.75" header="0.3" footer="0.3"/>
  <pageSetup orientation="portrait" r:id="rId1"/>
  <ignoredErrors>
    <ignoredError sqref="F132 F135:J135" formula="1"/>
  </ignoredErrors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rgb="FF0070C0"/>
  </sheetPr>
  <dimension ref="A1:AQ1011"/>
  <sheetViews>
    <sheetView zoomScale="85" zoomScaleNormal="85" workbookViewId="0">
      <selection activeCell="F183" sqref="F183"/>
    </sheetView>
  </sheetViews>
  <sheetFormatPr defaultRowHeight="15"/>
  <cols>
    <col min="1" max="1" width="3.42578125" style="20" customWidth="1"/>
    <col min="2" max="2" width="4.5703125" style="214" customWidth="1"/>
    <col min="3" max="3" width="41.7109375" bestFit="1" customWidth="1"/>
    <col min="5" max="5" width="9.140625" hidden="1" customWidth="1"/>
    <col min="6" max="6" width="16" bestFit="1" customWidth="1"/>
    <col min="7" max="7" width="12.28515625" style="144" bestFit="1" customWidth="1"/>
    <col min="8" max="8" width="14" style="144" customWidth="1"/>
    <col min="9" max="10" width="14" style="188" customWidth="1"/>
    <col min="11" max="11" width="13" customWidth="1"/>
    <col min="12" max="16" width="11.5703125" bestFit="1" customWidth="1"/>
    <col min="17" max="18" width="11.140625" bestFit="1" customWidth="1"/>
    <col min="19" max="21" width="11.5703125" bestFit="1" customWidth="1"/>
    <col min="22" max="22" width="15.7109375" bestFit="1" customWidth="1"/>
    <col min="23" max="23" width="9.140625" style="188"/>
  </cols>
  <sheetData>
    <row r="1" spans="1:43">
      <c r="B1" s="213"/>
      <c r="C1" s="20"/>
      <c r="D1" s="20"/>
      <c r="E1" s="20"/>
      <c r="F1" s="20"/>
      <c r="G1" s="128"/>
      <c r="H1" s="128"/>
      <c r="I1" s="158"/>
      <c r="J1" s="158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158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</row>
    <row r="2" spans="1:43" ht="19.5">
      <c r="B2" s="213"/>
      <c r="C2" s="1" t="s">
        <v>1669</v>
      </c>
      <c r="D2" s="1"/>
      <c r="E2" s="1"/>
      <c r="F2" s="1"/>
      <c r="G2" s="130"/>
      <c r="H2" s="130"/>
      <c r="I2" s="178"/>
      <c r="J2" s="158"/>
      <c r="K2" s="2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158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</row>
    <row r="3" spans="1:43">
      <c r="B3" s="213"/>
      <c r="C3" s="3" t="s">
        <v>158</v>
      </c>
      <c r="D3" s="3"/>
      <c r="E3" s="3"/>
      <c r="F3" s="3"/>
      <c r="G3" s="130"/>
      <c r="H3" s="130"/>
      <c r="I3" s="178"/>
      <c r="J3" s="158"/>
      <c r="K3" s="2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158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</row>
    <row r="4" spans="1:43">
      <c r="B4" s="213"/>
      <c r="C4" s="20"/>
      <c r="D4" s="20"/>
      <c r="E4" s="20"/>
      <c r="F4" s="20"/>
      <c r="G4" s="128"/>
      <c r="H4" s="128"/>
      <c r="I4" s="158"/>
      <c r="J4" s="158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158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</row>
    <row r="5" spans="1:43" s="333" customFormat="1" ht="12.75">
      <c r="A5" s="25"/>
      <c r="B5" s="128"/>
      <c r="C5" s="38" t="s">
        <v>206</v>
      </c>
      <c r="D5" s="39"/>
      <c r="E5" s="39"/>
      <c r="F5" s="157"/>
      <c r="G5" s="39"/>
      <c r="H5" s="41"/>
      <c r="I5" s="332"/>
      <c r="J5" s="335"/>
      <c r="K5" s="336"/>
      <c r="L5" s="336"/>
      <c r="M5" s="336"/>
      <c r="N5" s="336"/>
      <c r="O5" s="336"/>
      <c r="P5" s="336"/>
      <c r="Q5" s="336"/>
      <c r="R5" s="336"/>
      <c r="S5" s="336"/>
      <c r="T5" s="336"/>
      <c r="U5" s="336"/>
      <c r="V5" s="336"/>
      <c r="W5" s="332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</row>
    <row r="6" spans="1:43" s="333" customFormat="1" ht="12.75">
      <c r="A6" s="25"/>
      <c r="B6" s="128"/>
      <c r="C6" s="42" t="s">
        <v>209</v>
      </c>
      <c r="D6" s="43" t="s">
        <v>235</v>
      </c>
      <c r="E6" s="43"/>
      <c r="F6" s="43" t="s">
        <v>29</v>
      </c>
      <c r="G6" s="43"/>
      <c r="H6" s="337" t="s">
        <v>236</v>
      </c>
      <c r="I6" s="332"/>
      <c r="J6" s="332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2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</row>
    <row r="7" spans="1:43" s="333" customFormat="1" ht="12.75">
      <c r="A7" s="25"/>
      <c r="B7" s="128"/>
      <c r="C7" s="42"/>
      <c r="D7" s="43" t="s">
        <v>237</v>
      </c>
      <c r="E7" s="43"/>
      <c r="F7" s="43" t="s">
        <v>157</v>
      </c>
      <c r="G7" s="354" t="s">
        <v>114</v>
      </c>
      <c r="H7" s="337" t="s">
        <v>238</v>
      </c>
      <c r="I7" s="332"/>
      <c r="J7" s="332"/>
      <c r="K7" s="338"/>
      <c r="L7" s="338"/>
      <c r="M7" s="338"/>
      <c r="N7" s="338"/>
      <c r="O7" s="338"/>
      <c r="P7" s="338"/>
      <c r="Q7" s="338"/>
      <c r="R7" s="338"/>
      <c r="S7" s="338"/>
      <c r="T7" s="338"/>
      <c r="U7" s="338"/>
      <c r="V7" s="338"/>
      <c r="W7" s="332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</row>
    <row r="8" spans="1:43" s="333" customFormat="1" ht="12.75">
      <c r="A8" s="25"/>
      <c r="B8" s="128"/>
      <c r="C8" s="587" t="s">
        <v>210</v>
      </c>
      <c r="D8" s="587">
        <f t="shared" ref="D8:D18" si="0">VLOOKUP(C8,$B$166:$H$262,5,FALSE)</f>
        <v>3</v>
      </c>
      <c r="E8" s="587"/>
      <c r="F8" s="700">
        <f t="shared" ref="F8:F18" si="1">VLOOKUP(C8,$B$166:$H$262,7,FALSE)</f>
        <v>29500</v>
      </c>
      <c r="G8" s="701">
        <f>F8/$F$19</f>
        <v>3.4318121228278521E-2</v>
      </c>
      <c r="H8" s="702">
        <f>'App 8_5Yr Headcount'!F9-'App 9_Yr1 Headcount'!D8</f>
        <v>0</v>
      </c>
      <c r="I8" s="332"/>
      <c r="J8" s="332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332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</row>
    <row r="9" spans="1:43" s="333" customFormat="1" ht="12.75">
      <c r="A9" s="25"/>
      <c r="B9" s="128"/>
      <c r="C9" s="339" t="str">
        <f>C170</f>
        <v>Management</v>
      </c>
      <c r="D9" s="339">
        <f t="shared" si="0"/>
        <v>2</v>
      </c>
      <c r="E9" s="339"/>
      <c r="F9" s="703">
        <f t="shared" si="1"/>
        <v>156000</v>
      </c>
      <c r="G9" s="704">
        <f t="shared" ref="G9:G18" si="2">F9/$F$19</f>
        <v>0.18147887835971013</v>
      </c>
      <c r="H9" s="705">
        <f>'App 8_5Yr Headcount'!F10-'App 9_Yr1 Headcount'!D9</f>
        <v>0</v>
      </c>
      <c r="I9" s="777"/>
      <c r="J9" s="332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332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</row>
    <row r="10" spans="1:43" s="333" customFormat="1" ht="12.75">
      <c r="A10" s="25"/>
      <c r="B10" s="128"/>
      <c r="C10" s="339" t="str">
        <f>C177</f>
        <v>Finance &amp; Accounting</v>
      </c>
      <c r="D10" s="339">
        <f t="shared" si="0"/>
        <v>2</v>
      </c>
      <c r="E10" s="339"/>
      <c r="F10" s="703">
        <f t="shared" si="1"/>
        <v>21562.5</v>
      </c>
      <c r="G10" s="704">
        <f t="shared" si="2"/>
        <v>2.5084219965584936E-2</v>
      </c>
      <c r="H10" s="705">
        <f>'App 8_5Yr Headcount'!F11-'App 9_Yr1 Headcount'!D10</f>
        <v>-1</v>
      </c>
      <c r="I10" s="777"/>
      <c r="J10" s="332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332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</row>
    <row r="11" spans="1:43" s="333" customFormat="1" ht="12.75">
      <c r="A11" s="25"/>
      <c r="B11" s="128"/>
      <c r="C11" s="339" t="str">
        <f>C181</f>
        <v>Human Resource Management</v>
      </c>
      <c r="D11" s="339">
        <f t="shared" si="0"/>
        <v>1</v>
      </c>
      <c r="E11" s="339"/>
      <c r="F11" s="703">
        <f t="shared" si="1"/>
        <v>18750</v>
      </c>
      <c r="G11" s="704">
        <f t="shared" si="2"/>
        <v>2.1812365187465162E-2</v>
      </c>
      <c r="H11" s="705">
        <f>'App 8_5Yr Headcount'!F12-'App 9_Yr1 Headcount'!D11</f>
        <v>1</v>
      </c>
      <c r="I11" s="332"/>
      <c r="J11" s="332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332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</row>
    <row r="12" spans="1:43" s="333" customFormat="1" ht="12.75">
      <c r="A12" s="25"/>
      <c r="B12" s="128"/>
      <c r="C12" s="339" t="str">
        <f>C188</f>
        <v>Consultation</v>
      </c>
      <c r="D12" s="339">
        <f t="shared" si="0"/>
        <v>9</v>
      </c>
      <c r="E12" s="339"/>
      <c r="F12" s="703">
        <f t="shared" si="1"/>
        <v>145000</v>
      </c>
      <c r="G12" s="704">
        <f t="shared" si="2"/>
        <v>0.1686822907830639</v>
      </c>
      <c r="H12" s="705">
        <f>'App 8_5Yr Headcount'!F13-'App 9_Yr1 Headcount'!D12</f>
        <v>0</v>
      </c>
      <c r="I12" s="777"/>
      <c r="J12" s="332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332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</row>
    <row r="13" spans="1:43" s="333" customFormat="1" ht="12.75">
      <c r="A13" s="25"/>
      <c r="B13" s="128"/>
      <c r="C13" s="339" t="str">
        <f>C194</f>
        <v>Laboratory Service</v>
      </c>
      <c r="D13" s="339">
        <f t="shared" si="0"/>
        <v>10</v>
      </c>
      <c r="E13" s="339"/>
      <c r="F13" s="703">
        <f t="shared" si="1"/>
        <v>132500</v>
      </c>
      <c r="G13" s="704">
        <f t="shared" si="2"/>
        <v>0.15414071399142049</v>
      </c>
      <c r="H13" s="705">
        <f>'App 8_5Yr Headcount'!F14-'App 9_Yr1 Headcount'!D13</f>
        <v>0</v>
      </c>
      <c r="I13" s="332"/>
      <c r="J13" s="332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332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</row>
    <row r="14" spans="1:43" s="333" customFormat="1" ht="12.75">
      <c r="A14" s="25"/>
      <c r="B14" s="128"/>
      <c r="C14" s="339" t="str">
        <f>C204</f>
        <v>Imaging Diagnosis Service</v>
      </c>
      <c r="D14" s="339">
        <f t="shared" si="0"/>
        <v>24</v>
      </c>
      <c r="E14" s="339"/>
      <c r="F14" s="703">
        <f t="shared" si="1"/>
        <v>270937.5</v>
      </c>
      <c r="G14" s="704">
        <f t="shared" si="2"/>
        <v>0.31518867695887159</v>
      </c>
      <c r="H14" s="705">
        <f>'App 8_5Yr Headcount'!F15-'App 9_Yr1 Headcount'!D14</f>
        <v>0</v>
      </c>
      <c r="I14" s="332"/>
      <c r="J14" s="332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332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</row>
    <row r="15" spans="1:43" s="333" customFormat="1" ht="12.75">
      <c r="A15" s="25"/>
      <c r="B15" s="128"/>
      <c r="C15" s="339" t="str">
        <f>C240</f>
        <v>Marketing</v>
      </c>
      <c r="D15" s="339">
        <f t="shared" si="0"/>
        <v>10</v>
      </c>
      <c r="E15" s="339"/>
      <c r="F15" s="703">
        <f t="shared" si="1"/>
        <v>31500</v>
      </c>
      <c r="G15" s="704">
        <f t="shared" si="2"/>
        <v>3.664477351494147E-2</v>
      </c>
      <c r="H15" s="705">
        <f>'App 8_5Yr Headcount'!F16-'App 9_Yr1 Headcount'!D15</f>
        <v>0</v>
      </c>
      <c r="I15" s="332"/>
      <c r="J15" s="332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332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</row>
    <row r="16" spans="1:43" s="333" customFormat="1" ht="12.75">
      <c r="A16" s="25"/>
      <c r="B16" s="128"/>
      <c r="C16" s="339" t="str">
        <f>C244</f>
        <v>Delivery</v>
      </c>
      <c r="D16" s="339">
        <f t="shared" si="0"/>
        <v>5</v>
      </c>
      <c r="E16" s="339"/>
      <c r="F16" s="703">
        <f t="shared" si="1"/>
        <v>25875</v>
      </c>
      <c r="G16" s="704">
        <f t="shared" si="2"/>
        <v>3.0101063958701924E-2</v>
      </c>
      <c r="H16" s="705">
        <f>'App 8_5Yr Headcount'!F17-'App 9_Yr1 Headcount'!D16</f>
        <v>0</v>
      </c>
      <c r="I16" s="332"/>
      <c r="J16" s="332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332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</row>
    <row r="17" spans="1:43" s="333" customFormat="1" ht="12.75">
      <c r="A17" s="25"/>
      <c r="B17" s="128"/>
      <c r="C17" s="339" t="str">
        <f>C248</f>
        <v>IT</v>
      </c>
      <c r="D17" s="339">
        <f t="shared" si="0"/>
        <v>2</v>
      </c>
      <c r="E17" s="339"/>
      <c r="F17" s="703">
        <f t="shared" si="1"/>
        <v>20937.5</v>
      </c>
      <c r="G17" s="704">
        <f t="shared" si="2"/>
        <v>2.4357141126002763E-2</v>
      </c>
      <c r="H17" s="705">
        <f>'App 8_5Yr Headcount'!F18-'App 9_Yr1 Headcount'!D17</f>
        <v>0</v>
      </c>
      <c r="I17" s="332"/>
      <c r="J17" s="332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332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</row>
    <row r="18" spans="1:43" s="333" customFormat="1" ht="12.75">
      <c r="A18" s="25"/>
      <c r="B18" s="128"/>
      <c r="C18" s="339" t="str">
        <f>C252</f>
        <v>Others</v>
      </c>
      <c r="D18" s="592">
        <f t="shared" si="0"/>
        <v>10</v>
      </c>
      <c r="E18" s="592"/>
      <c r="F18" s="706">
        <f t="shared" si="1"/>
        <v>7041.666666666667</v>
      </c>
      <c r="G18" s="707">
        <f t="shared" si="2"/>
        <v>8.1917549259591382E-3</v>
      </c>
      <c r="H18" s="705">
        <f>'App 8_5Yr Headcount'!F19-'App 9_Yr1 Headcount'!D18</f>
        <v>0</v>
      </c>
      <c r="I18" s="332"/>
      <c r="J18" s="332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332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</row>
    <row r="19" spans="1:43" s="333" customFormat="1" ht="12.75">
      <c r="A19" s="25"/>
      <c r="B19" s="128"/>
      <c r="C19" s="517" t="s">
        <v>239</v>
      </c>
      <c r="D19" s="342">
        <f>SUM(D8:D18)</f>
        <v>78</v>
      </c>
      <c r="E19" s="342"/>
      <c r="F19" s="370">
        <f t="shared" ref="F19:G19" si="3">SUM(F8:F18)</f>
        <v>859604.16666666663</v>
      </c>
      <c r="G19" s="708">
        <f t="shared" si="3"/>
        <v>1</v>
      </c>
      <c r="H19" s="779">
        <f>'App 8_5Yr Headcount'!L20-'App 9_Yr1 Headcount'!F19</f>
        <v>0</v>
      </c>
      <c r="I19" s="332"/>
      <c r="J19" s="332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332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</row>
    <row r="20" spans="1:43" s="333" customFormat="1" ht="12.75">
      <c r="A20" s="25"/>
      <c r="B20" s="128"/>
      <c r="C20" s="709" t="s">
        <v>240</v>
      </c>
      <c r="D20" s="710"/>
      <c r="E20" s="710"/>
      <c r="F20" s="711"/>
      <c r="G20" s="712"/>
      <c r="H20" s="713"/>
      <c r="I20" s="332"/>
      <c r="J20" s="332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332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</row>
    <row r="21" spans="1:43" s="333" customFormat="1" ht="12.75">
      <c r="A21" s="25"/>
      <c r="B21" s="128"/>
      <c r="C21" s="587" t="s">
        <v>168</v>
      </c>
      <c r="D21" s="587">
        <f>SUMIF($D$163:$D$258,C21,$F$163:$F$258)</f>
        <v>59</v>
      </c>
      <c r="E21" s="371"/>
      <c r="F21" s="714"/>
      <c r="G21" s="715">
        <f>D21/$D$19</f>
        <v>0.75641025641025639</v>
      </c>
      <c r="H21" s="716" t="s">
        <v>241</v>
      </c>
      <c r="I21" s="332"/>
      <c r="J21" s="332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332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</row>
    <row r="22" spans="1:43" s="333" customFormat="1" ht="12.75">
      <c r="A22" s="25"/>
      <c r="B22" s="128"/>
      <c r="C22" s="339" t="s">
        <v>182</v>
      </c>
      <c r="D22" s="339">
        <f>SUMIF($D$163:$D$258,C22,$F$163:$F$258)</f>
        <v>19</v>
      </c>
      <c r="E22" s="314"/>
      <c r="F22" s="717"/>
      <c r="G22" s="718">
        <f>D22/$D$19</f>
        <v>0.24358974358974358</v>
      </c>
      <c r="H22" s="719" t="s">
        <v>242</v>
      </c>
      <c r="I22" s="332"/>
      <c r="J22" s="332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332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</row>
    <row r="23" spans="1:43" s="333" customFormat="1" ht="12.75">
      <c r="A23" s="25"/>
      <c r="B23" s="128"/>
      <c r="C23" s="339"/>
      <c r="D23" s="339"/>
      <c r="E23" s="314"/>
      <c r="F23" s="717"/>
      <c r="G23" s="718"/>
      <c r="H23" s="719"/>
      <c r="I23" s="332"/>
      <c r="J23" s="332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332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</row>
    <row r="24" spans="1:43" s="333" customFormat="1" ht="12.75">
      <c r="A24" s="25"/>
      <c r="B24" s="128"/>
      <c r="C24" s="339" t="str">
        <f>C44</f>
        <v>Doctors</v>
      </c>
      <c r="D24" s="339">
        <f>SUMIF($C$163:$C$258,C44,$F$163:$F$258)</f>
        <v>12</v>
      </c>
      <c r="E24" s="314"/>
      <c r="F24" s="717"/>
      <c r="G24" s="718">
        <f t="shared" ref="G24:G28" si="4">D24/$D$19</f>
        <v>0.15384615384615385</v>
      </c>
      <c r="H24" s="719"/>
      <c r="I24" s="332"/>
      <c r="J24" s="332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332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</row>
    <row r="25" spans="1:43" s="333" customFormat="1" ht="12.75">
      <c r="A25" s="25"/>
      <c r="B25" s="128"/>
      <c r="C25" s="339" t="str">
        <f t="shared" ref="C25:C28" si="5">C45</f>
        <v>Nurses</v>
      </c>
      <c r="D25" s="339">
        <f>SUMIF($C$163:$C$258,C45,$F$163:$F$258)</f>
        <v>13</v>
      </c>
      <c r="E25" s="314"/>
      <c r="F25" s="717"/>
      <c r="G25" s="718">
        <f t="shared" si="4"/>
        <v>0.16666666666666666</v>
      </c>
      <c r="H25" s="719"/>
      <c r="I25" s="332"/>
      <c r="J25" s="332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332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</row>
    <row r="26" spans="1:43" s="333" customFormat="1" ht="12.75">
      <c r="A26" s="25"/>
      <c r="B26" s="128"/>
      <c r="C26" s="339" t="str">
        <f t="shared" si="5"/>
        <v>Technicians</v>
      </c>
      <c r="D26" s="339">
        <f>SUMIF($C$163:$C$258,C46,$F$163:$F$258)</f>
        <v>11</v>
      </c>
      <c r="E26" s="314"/>
      <c r="F26" s="717"/>
      <c r="G26" s="718">
        <f t="shared" si="4"/>
        <v>0.14102564102564102</v>
      </c>
      <c r="H26" s="719"/>
      <c r="I26" s="332"/>
      <c r="J26" s="332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332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</row>
    <row r="27" spans="1:43" s="333" customFormat="1" ht="12.75">
      <c r="A27" s="25"/>
      <c r="B27" s="128"/>
      <c r="C27" s="339" t="str">
        <f t="shared" si="5"/>
        <v>Pharmacists</v>
      </c>
      <c r="D27" s="339">
        <f>SUMIF($C$163:$C$258,C47,$F$163:$F$258)</f>
        <v>1</v>
      </c>
      <c r="E27" s="314"/>
      <c r="F27" s="717"/>
      <c r="G27" s="718">
        <f t="shared" si="4"/>
        <v>1.282051282051282E-2</v>
      </c>
      <c r="H27" s="719"/>
      <c r="I27" s="332"/>
      <c r="J27" s="332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332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</row>
    <row r="28" spans="1:43" s="333" customFormat="1" ht="12.75">
      <c r="A28" s="25"/>
      <c r="B28" s="128"/>
      <c r="C28" s="339" t="str">
        <f t="shared" si="5"/>
        <v>Engineers</v>
      </c>
      <c r="D28" s="339">
        <f>SUMIF($C$163:$C$258,C48,$F$163:$F$258)</f>
        <v>1</v>
      </c>
      <c r="E28" s="314"/>
      <c r="F28" s="717"/>
      <c r="G28" s="718">
        <f t="shared" si="4"/>
        <v>1.282051282051282E-2</v>
      </c>
      <c r="H28" s="719"/>
      <c r="I28" s="332"/>
      <c r="J28" s="332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332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</row>
    <row r="29" spans="1:43" s="333" customFormat="1" ht="12.75">
      <c r="A29" s="25"/>
      <c r="B29" s="128"/>
      <c r="C29" s="356" t="s">
        <v>243</v>
      </c>
      <c r="D29" s="339">
        <f>SUM(D24:D28)</f>
        <v>38</v>
      </c>
      <c r="E29" s="314"/>
      <c r="F29" s="717"/>
      <c r="G29" s="569">
        <f>SUM(G24:G28)</f>
        <v>0.48717948717948717</v>
      </c>
      <c r="H29" s="720" t="s">
        <v>244</v>
      </c>
      <c r="I29" s="332"/>
      <c r="J29" s="332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332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</row>
    <row r="30" spans="1:43" s="333" customFormat="1" ht="12.75">
      <c r="A30" s="25"/>
      <c r="B30" s="128"/>
      <c r="C30" s="592"/>
      <c r="D30" s="592"/>
      <c r="E30" s="518"/>
      <c r="F30" s="721"/>
      <c r="G30" s="722"/>
      <c r="H30" s="723"/>
      <c r="I30" s="332"/>
      <c r="J30" s="332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332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</row>
    <row r="31" spans="1:43" s="333" customFormat="1" ht="12.75">
      <c r="A31" s="25"/>
      <c r="B31" s="128"/>
      <c r="C31" s="26"/>
      <c r="D31" s="26"/>
      <c r="E31" s="26"/>
      <c r="F31" s="724"/>
      <c r="G31" s="633"/>
      <c r="H31" s="633"/>
      <c r="I31" s="332"/>
      <c r="J31" s="332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332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</row>
    <row r="32" spans="1:43" s="333" customFormat="1" ht="12.75">
      <c r="A32" s="25"/>
      <c r="B32" s="128"/>
      <c r="C32" s="38" t="s">
        <v>11</v>
      </c>
      <c r="D32" s="39"/>
      <c r="E32" s="39"/>
      <c r="F32" s="725" t="s">
        <v>245</v>
      </c>
      <c r="G32" s="923" t="s">
        <v>246</v>
      </c>
      <c r="H32" s="923"/>
      <c r="I32" s="923"/>
      <c r="J32" s="924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332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</row>
    <row r="33" spans="1:43" s="333" customFormat="1" ht="12.75">
      <c r="A33" s="25"/>
      <c r="B33" s="128"/>
      <c r="C33" s="42" t="s">
        <v>161</v>
      </c>
      <c r="D33" s="43" t="s">
        <v>162</v>
      </c>
      <c r="E33" s="43"/>
      <c r="F33" s="354" t="s">
        <v>247</v>
      </c>
      <c r="G33" s="354" t="s">
        <v>247</v>
      </c>
      <c r="H33" s="354" t="s">
        <v>248</v>
      </c>
      <c r="I33" s="354" t="s">
        <v>247</v>
      </c>
      <c r="J33" s="726" t="s">
        <v>248</v>
      </c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332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</row>
    <row r="34" spans="1:43" s="333" customFormat="1" ht="12.75">
      <c r="A34" s="25"/>
      <c r="B34" s="128"/>
      <c r="C34" s="42"/>
      <c r="D34" s="43"/>
      <c r="E34" s="43"/>
      <c r="F34" s="354" t="s">
        <v>164</v>
      </c>
      <c r="G34" s="354" t="s">
        <v>217</v>
      </c>
      <c r="H34" s="354" t="s">
        <v>249</v>
      </c>
      <c r="I34" s="354" t="s">
        <v>250</v>
      </c>
      <c r="J34" s="726" t="s">
        <v>251</v>
      </c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332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</row>
    <row r="35" spans="1:43" s="333" customFormat="1" ht="12.75">
      <c r="A35" s="25"/>
      <c r="B35" s="128"/>
      <c r="C35" s="587" t="s">
        <v>167</v>
      </c>
      <c r="D35" s="587" t="s">
        <v>168</v>
      </c>
      <c r="E35" s="48" t="str">
        <f>CONCATENATE(C35,D35)</f>
        <v>PresidentFT</v>
      </c>
      <c r="F35" s="727">
        <v>70000</v>
      </c>
      <c r="G35" s="728">
        <f>F35*(1+$F$52)</f>
        <v>91000</v>
      </c>
      <c r="H35" s="617">
        <f>G35/12</f>
        <v>7583.333333333333</v>
      </c>
      <c r="I35" s="364">
        <f>G35*20000/1000000</f>
        <v>1820</v>
      </c>
      <c r="J35" s="729">
        <f>I35*1000/12</f>
        <v>151666.66666666666</v>
      </c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332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</row>
    <row r="36" spans="1:43" s="333" customFormat="1" ht="12.75">
      <c r="A36" s="25"/>
      <c r="B36" s="128"/>
      <c r="C36" s="339" t="s">
        <v>1623</v>
      </c>
      <c r="D36" s="339" t="s">
        <v>168</v>
      </c>
      <c r="E36" s="48" t="str">
        <f t="shared" ref="E36:E50" si="6">CONCATENATE(C36,D36)</f>
        <v>Vice PresidentFT</v>
      </c>
      <c r="F36" s="730">
        <v>50000</v>
      </c>
      <c r="G36" s="731">
        <f>F36*(1+$F$52)</f>
        <v>65000</v>
      </c>
      <c r="H36" s="340">
        <f t="shared" ref="H36:H50" si="7">G36/12</f>
        <v>5416.666666666667</v>
      </c>
      <c r="I36" s="51">
        <f t="shared" ref="I36:I50" si="8">G36*20000/1000000</f>
        <v>1300</v>
      </c>
      <c r="J36" s="732">
        <f t="shared" ref="J36:J50" si="9">I36*1000/12</f>
        <v>108333.33333333333</v>
      </c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332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</row>
    <row r="37" spans="1:43" s="333" customFormat="1" ht="12.75">
      <c r="A37" s="25"/>
      <c r="B37" s="128"/>
      <c r="C37" s="339" t="str">
        <f>C178</f>
        <v>Financial Controller</v>
      </c>
      <c r="D37" s="339" t="s">
        <v>168</v>
      </c>
      <c r="E37" s="48" t="str">
        <f t="shared" si="6"/>
        <v>Financial ControllerFT</v>
      </c>
      <c r="F37" s="730">
        <f>F39</f>
        <v>15000</v>
      </c>
      <c r="G37" s="731">
        <f t="shared" ref="G37:G50" si="10">IF(D37="FT",F37*(1+$F$53),F37)</f>
        <v>18750</v>
      </c>
      <c r="H37" s="340">
        <f t="shared" si="7"/>
        <v>1562.5</v>
      </c>
      <c r="I37" s="51">
        <f t="shared" si="8"/>
        <v>375</v>
      </c>
      <c r="J37" s="732">
        <f t="shared" si="9"/>
        <v>31250</v>
      </c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332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</row>
    <row r="38" spans="1:43" s="333" customFormat="1" ht="12.75">
      <c r="A38" s="25"/>
      <c r="B38" s="128"/>
      <c r="C38" s="339" t="str">
        <f>C182</f>
        <v>Human Resource Manager</v>
      </c>
      <c r="D38" s="339" t="s">
        <v>168</v>
      </c>
      <c r="E38" s="48" t="str">
        <f t="shared" si="6"/>
        <v>Human Resource ManagerFT</v>
      </c>
      <c r="F38" s="730">
        <f>F39</f>
        <v>15000</v>
      </c>
      <c r="G38" s="731">
        <f t="shared" si="10"/>
        <v>18750</v>
      </c>
      <c r="H38" s="340">
        <f t="shared" si="7"/>
        <v>1562.5</v>
      </c>
      <c r="I38" s="51">
        <f t="shared" si="8"/>
        <v>375</v>
      </c>
      <c r="J38" s="732">
        <f t="shared" si="9"/>
        <v>31250</v>
      </c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332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</row>
    <row r="39" spans="1:43" s="333" customFormat="1" ht="12.75">
      <c r="A39" s="25"/>
      <c r="B39" s="128"/>
      <c r="C39" s="339" t="s">
        <v>252</v>
      </c>
      <c r="D39" s="339" t="s">
        <v>168</v>
      </c>
      <c r="E39" s="48" t="str">
        <f t="shared" si="6"/>
        <v>Marketing/Delivery/IT ManagerFT</v>
      </c>
      <c r="F39" s="730">
        <v>15000</v>
      </c>
      <c r="G39" s="731">
        <f t="shared" si="10"/>
        <v>18750</v>
      </c>
      <c r="H39" s="340">
        <f t="shared" si="7"/>
        <v>1562.5</v>
      </c>
      <c r="I39" s="51">
        <f t="shared" si="8"/>
        <v>375</v>
      </c>
      <c r="J39" s="732">
        <f t="shared" si="9"/>
        <v>31250</v>
      </c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332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</row>
    <row r="40" spans="1:43" s="333" customFormat="1" ht="12.75">
      <c r="A40" s="25"/>
      <c r="B40" s="128"/>
      <c r="C40" s="339" t="s">
        <v>180</v>
      </c>
      <c r="D40" s="339" t="s">
        <v>168</v>
      </c>
      <c r="E40" s="48" t="str">
        <f t="shared" si="6"/>
        <v>Department HeadFT</v>
      </c>
      <c r="F40" s="730">
        <v>30000</v>
      </c>
      <c r="G40" s="731">
        <f t="shared" si="10"/>
        <v>37500</v>
      </c>
      <c r="H40" s="340">
        <f t="shared" si="7"/>
        <v>3125</v>
      </c>
      <c r="I40" s="51">
        <f t="shared" si="8"/>
        <v>750</v>
      </c>
      <c r="J40" s="732">
        <f t="shared" si="9"/>
        <v>62500</v>
      </c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332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</row>
    <row r="41" spans="1:43" s="333" customFormat="1" ht="12.75">
      <c r="A41" s="25"/>
      <c r="B41" s="128"/>
      <c r="C41" s="339" t="s">
        <v>178</v>
      </c>
      <c r="D41" s="339" t="s">
        <v>168</v>
      </c>
      <c r="E41" s="48" t="str">
        <f>CONCATENATE(C41,D41)</f>
        <v>AssociateFT</v>
      </c>
      <c r="F41" s="730">
        <v>3000</v>
      </c>
      <c r="G41" s="731">
        <f t="shared" si="10"/>
        <v>3750</v>
      </c>
      <c r="H41" s="340">
        <f t="shared" si="7"/>
        <v>312.5</v>
      </c>
      <c r="I41" s="51">
        <f t="shared" si="8"/>
        <v>75</v>
      </c>
      <c r="J41" s="732">
        <f t="shared" si="9"/>
        <v>6250</v>
      </c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332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</row>
    <row r="42" spans="1:43" s="333" customFormat="1" ht="12.75">
      <c r="A42" s="25"/>
      <c r="B42" s="128"/>
      <c r="C42" s="339" t="s">
        <v>178</v>
      </c>
      <c r="D42" s="339" t="s">
        <v>182</v>
      </c>
      <c r="E42" s="48" t="str">
        <f t="shared" ref="E42" si="11">CONCATENATE(C42,D42)</f>
        <v>AssociatePT</v>
      </c>
      <c r="F42" s="730">
        <v>1500</v>
      </c>
      <c r="G42" s="731">
        <f t="shared" si="10"/>
        <v>1500</v>
      </c>
      <c r="H42" s="340">
        <f t="shared" si="7"/>
        <v>125</v>
      </c>
      <c r="I42" s="51">
        <f t="shared" si="8"/>
        <v>30</v>
      </c>
      <c r="J42" s="732">
        <f t="shared" si="9"/>
        <v>2500</v>
      </c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332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</row>
    <row r="43" spans="1:43" s="333" customFormat="1" ht="12.75">
      <c r="A43" s="25"/>
      <c r="B43" s="128"/>
      <c r="C43" s="339" t="s">
        <v>181</v>
      </c>
      <c r="D43" s="339" t="s">
        <v>168</v>
      </c>
      <c r="E43" s="48" t="str">
        <f t="shared" si="6"/>
        <v>DoctorsFT</v>
      </c>
      <c r="F43" s="730">
        <v>25000</v>
      </c>
      <c r="G43" s="731">
        <f t="shared" si="10"/>
        <v>31250</v>
      </c>
      <c r="H43" s="340">
        <f t="shared" si="7"/>
        <v>2604.1666666666665</v>
      </c>
      <c r="I43" s="51">
        <f t="shared" si="8"/>
        <v>625</v>
      </c>
      <c r="J43" s="732">
        <f t="shared" si="9"/>
        <v>52083.333333333336</v>
      </c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332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</row>
    <row r="44" spans="1:43" s="333" customFormat="1" ht="12.75">
      <c r="A44" s="25"/>
      <c r="B44" s="128"/>
      <c r="C44" s="339" t="s">
        <v>181</v>
      </c>
      <c r="D44" s="339" t="s">
        <v>182</v>
      </c>
      <c r="E44" s="48" t="str">
        <f t="shared" si="6"/>
        <v>DoctorsPT</v>
      </c>
      <c r="F44" s="730">
        <v>15000</v>
      </c>
      <c r="G44" s="731">
        <f t="shared" si="10"/>
        <v>15000</v>
      </c>
      <c r="H44" s="340">
        <f t="shared" si="7"/>
        <v>1250</v>
      </c>
      <c r="I44" s="51">
        <f t="shared" si="8"/>
        <v>300</v>
      </c>
      <c r="J44" s="732">
        <f t="shared" si="9"/>
        <v>25000</v>
      </c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332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</row>
    <row r="45" spans="1:43" s="333" customFormat="1" ht="12.75">
      <c r="A45" s="25"/>
      <c r="B45" s="128"/>
      <c r="C45" s="339" t="s">
        <v>183</v>
      </c>
      <c r="D45" s="339" t="s">
        <v>168</v>
      </c>
      <c r="E45" s="48" t="str">
        <f t="shared" si="6"/>
        <v>NursesFT</v>
      </c>
      <c r="F45" s="730">
        <v>3000</v>
      </c>
      <c r="G45" s="731">
        <f t="shared" si="10"/>
        <v>3750</v>
      </c>
      <c r="H45" s="340">
        <f t="shared" si="7"/>
        <v>312.5</v>
      </c>
      <c r="I45" s="51">
        <f t="shared" si="8"/>
        <v>75</v>
      </c>
      <c r="J45" s="732">
        <f t="shared" si="9"/>
        <v>6250</v>
      </c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332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</row>
    <row r="46" spans="1:43" s="333" customFormat="1" ht="12.75">
      <c r="A46" s="25"/>
      <c r="B46" s="128"/>
      <c r="C46" s="339" t="s">
        <v>186</v>
      </c>
      <c r="D46" s="339" t="s">
        <v>168</v>
      </c>
      <c r="E46" s="48" t="str">
        <f t="shared" si="6"/>
        <v>TechniciansFT</v>
      </c>
      <c r="F46" s="730">
        <v>7000</v>
      </c>
      <c r="G46" s="731">
        <f t="shared" si="10"/>
        <v>8750</v>
      </c>
      <c r="H46" s="340">
        <f t="shared" si="7"/>
        <v>729.16666666666663</v>
      </c>
      <c r="I46" s="51">
        <f t="shared" si="8"/>
        <v>175</v>
      </c>
      <c r="J46" s="732">
        <f t="shared" si="9"/>
        <v>14583.333333333334</v>
      </c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332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</row>
    <row r="47" spans="1:43" s="333" customFormat="1" ht="12.75">
      <c r="A47" s="25"/>
      <c r="B47" s="128"/>
      <c r="C47" s="339" t="str">
        <f>C198</f>
        <v>Pharmacists</v>
      </c>
      <c r="D47" s="339" t="s">
        <v>168</v>
      </c>
      <c r="E47" s="48" t="str">
        <f t="shared" si="6"/>
        <v>PharmacistsFT</v>
      </c>
      <c r="F47" s="730">
        <v>15000</v>
      </c>
      <c r="G47" s="731">
        <f t="shared" si="10"/>
        <v>18750</v>
      </c>
      <c r="H47" s="340">
        <f t="shared" si="7"/>
        <v>1562.5</v>
      </c>
      <c r="I47" s="51">
        <f t="shared" si="8"/>
        <v>375</v>
      </c>
      <c r="J47" s="732">
        <f t="shared" si="9"/>
        <v>31250</v>
      </c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332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</row>
    <row r="48" spans="1:43" s="333" customFormat="1" ht="12.75">
      <c r="A48" s="25"/>
      <c r="B48" s="128"/>
      <c r="C48" s="339" t="str">
        <f>C200</f>
        <v>Engineers</v>
      </c>
      <c r="D48" s="339" t="s">
        <v>168</v>
      </c>
      <c r="E48" s="48" t="str">
        <f t="shared" si="6"/>
        <v>EngineersFT</v>
      </c>
      <c r="F48" s="730">
        <v>7000</v>
      </c>
      <c r="G48" s="731">
        <f t="shared" si="10"/>
        <v>8750</v>
      </c>
      <c r="H48" s="340">
        <f t="shared" si="7"/>
        <v>729.16666666666663</v>
      </c>
      <c r="I48" s="51">
        <f t="shared" si="8"/>
        <v>175</v>
      </c>
      <c r="J48" s="732">
        <f t="shared" si="9"/>
        <v>14583.333333333334</v>
      </c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332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</row>
    <row r="49" spans="1:43" s="333" customFormat="1" ht="12.75">
      <c r="A49" s="25"/>
      <c r="B49" s="128"/>
      <c r="C49" s="339" t="str">
        <f>$C$252</f>
        <v>Others</v>
      </c>
      <c r="D49" s="339" t="s">
        <v>168</v>
      </c>
      <c r="E49" s="48" t="str">
        <f t="shared" si="6"/>
        <v>OthersFT</v>
      </c>
      <c r="F49" s="730">
        <v>1000</v>
      </c>
      <c r="G49" s="731">
        <f t="shared" si="10"/>
        <v>1250</v>
      </c>
      <c r="H49" s="340">
        <f t="shared" si="7"/>
        <v>104.16666666666667</v>
      </c>
      <c r="I49" s="51">
        <f t="shared" si="8"/>
        <v>25</v>
      </c>
      <c r="J49" s="732">
        <f t="shared" si="9"/>
        <v>2083.3333333333335</v>
      </c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332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</row>
    <row r="50" spans="1:43" s="333" customFormat="1" ht="12.75">
      <c r="A50" s="25"/>
      <c r="B50" s="128"/>
      <c r="C50" s="592" t="str">
        <f>$C$252</f>
        <v>Others</v>
      </c>
      <c r="D50" s="592" t="s">
        <v>182</v>
      </c>
      <c r="E50" s="48" t="str">
        <f t="shared" si="6"/>
        <v>OthersPT</v>
      </c>
      <c r="F50" s="733">
        <v>500</v>
      </c>
      <c r="G50" s="734">
        <f t="shared" si="10"/>
        <v>500</v>
      </c>
      <c r="H50" s="735">
        <f t="shared" si="7"/>
        <v>41.666666666666664</v>
      </c>
      <c r="I50" s="34">
        <f t="shared" si="8"/>
        <v>10</v>
      </c>
      <c r="J50" s="736">
        <f t="shared" si="9"/>
        <v>833.33333333333337</v>
      </c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332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</row>
    <row r="51" spans="1:43" s="333" customFormat="1" ht="12.75">
      <c r="A51" s="25"/>
      <c r="B51" s="128"/>
      <c r="C51" s="47"/>
      <c r="D51" s="48"/>
      <c r="E51" s="48"/>
      <c r="F51" s="456"/>
      <c r="G51" s="340"/>
      <c r="H51" s="51"/>
      <c r="I51" s="643"/>
      <c r="J51" s="737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332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</row>
    <row r="52" spans="1:43" s="333" customFormat="1" ht="12.75">
      <c r="A52" s="25"/>
      <c r="B52" s="128"/>
      <c r="C52" s="386" t="s">
        <v>253</v>
      </c>
      <c r="D52" s="12"/>
      <c r="E52" s="12"/>
      <c r="F52" s="738">
        <v>0.3</v>
      </c>
      <c r="G52" s="12" t="s">
        <v>254</v>
      </c>
      <c r="H52" s="51"/>
      <c r="I52" s="643"/>
      <c r="J52" s="737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332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</row>
    <row r="53" spans="1:43" s="333" customFormat="1" ht="12.75">
      <c r="A53" s="25"/>
      <c r="B53" s="128"/>
      <c r="C53" s="386" t="s">
        <v>255</v>
      </c>
      <c r="D53" s="12"/>
      <c r="E53" s="12"/>
      <c r="F53" s="738">
        <v>0.25</v>
      </c>
      <c r="G53" s="12" t="s">
        <v>254</v>
      </c>
      <c r="H53" s="51"/>
      <c r="I53" s="643"/>
      <c r="J53" s="737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332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</row>
    <row r="54" spans="1:43" s="333" customFormat="1" ht="12.75">
      <c r="A54" s="25"/>
      <c r="B54" s="128"/>
      <c r="C54" s="386" t="s">
        <v>212</v>
      </c>
      <c r="D54" s="12"/>
      <c r="E54" s="12"/>
      <c r="F54" s="738">
        <v>0.08</v>
      </c>
      <c r="G54" s="739"/>
      <c r="H54" s="51"/>
      <c r="I54" s="643"/>
      <c r="J54" s="737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332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</row>
    <row r="55" spans="1:43" s="333" customFormat="1" ht="12.75">
      <c r="A55" s="25"/>
      <c r="B55" s="128"/>
      <c r="C55" s="386" t="s">
        <v>256</v>
      </c>
      <c r="D55" s="12"/>
      <c r="E55" s="12"/>
      <c r="F55" s="738">
        <v>0.03</v>
      </c>
      <c r="G55" s="739"/>
      <c r="H55" s="51"/>
      <c r="I55" s="643"/>
      <c r="J55" s="737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332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</row>
    <row r="56" spans="1:43" s="333" customFormat="1" ht="12.75">
      <c r="A56" s="25"/>
      <c r="B56" s="128"/>
      <c r="C56" s="60"/>
      <c r="D56" s="61"/>
      <c r="E56" s="61"/>
      <c r="F56" s="551"/>
      <c r="G56" s="34"/>
      <c r="H56" s="735"/>
      <c r="I56" s="740"/>
      <c r="J56" s="741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332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</row>
    <row r="57" spans="1:43" s="333" customFormat="1" ht="12.75">
      <c r="A57" s="25"/>
      <c r="B57" s="128"/>
      <c r="C57" s="25"/>
      <c r="D57" s="25"/>
      <c r="E57" s="25"/>
      <c r="F57" s="25"/>
      <c r="G57" s="128"/>
      <c r="H57" s="128"/>
      <c r="I57" s="332"/>
      <c r="J57" s="332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332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</row>
    <row r="58" spans="1:43" s="333" customFormat="1" ht="12.75">
      <c r="A58" s="25"/>
      <c r="B58" s="128"/>
      <c r="C58" s="38" t="s">
        <v>257</v>
      </c>
      <c r="D58" s="39"/>
      <c r="E58" s="39"/>
      <c r="F58" s="39"/>
      <c r="G58" s="157"/>
      <c r="H58" s="39"/>
      <c r="I58" s="651"/>
      <c r="J58" s="651"/>
      <c r="K58" s="39"/>
      <c r="L58" s="39"/>
      <c r="M58" s="39"/>
      <c r="N58" s="39"/>
      <c r="O58" s="41"/>
      <c r="P58" s="336"/>
      <c r="Q58" s="336"/>
      <c r="R58" s="336"/>
      <c r="S58" s="336"/>
      <c r="T58" s="336"/>
      <c r="U58" s="336"/>
      <c r="V58" s="336"/>
      <c r="W58" s="332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</row>
    <row r="59" spans="1:43" s="333" customFormat="1" ht="12.75">
      <c r="A59" s="25"/>
      <c r="B59" s="128"/>
      <c r="C59" s="42" t="s">
        <v>161</v>
      </c>
      <c r="D59" s="43" t="s">
        <v>162</v>
      </c>
      <c r="E59" s="43"/>
      <c r="F59" s="43" t="s">
        <v>163</v>
      </c>
      <c r="G59" s="43"/>
      <c r="H59" s="43" t="s">
        <v>157</v>
      </c>
      <c r="I59" s="742" t="s">
        <v>258</v>
      </c>
      <c r="J59" s="45">
        <v>41275</v>
      </c>
      <c r="K59" s="45">
        <v>41306</v>
      </c>
      <c r="L59" s="45">
        <v>41334</v>
      </c>
      <c r="M59" s="45">
        <v>41365</v>
      </c>
      <c r="N59" s="45">
        <v>41395</v>
      </c>
      <c r="O59" s="743">
        <v>41426</v>
      </c>
      <c r="P59" s="338"/>
      <c r="Q59" s="338"/>
      <c r="R59" s="338"/>
      <c r="S59" s="338"/>
      <c r="T59" s="338"/>
      <c r="U59" s="338"/>
      <c r="V59" s="338"/>
      <c r="W59" s="332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</row>
    <row r="60" spans="1:43" s="333" customFormat="1" ht="12.75">
      <c r="A60" s="25"/>
      <c r="B60" s="128"/>
      <c r="C60" s="47" t="str">
        <f>C163</f>
        <v>Project Manager</v>
      </c>
      <c r="D60" s="48" t="s">
        <v>168</v>
      </c>
      <c r="E60" s="48"/>
      <c r="F60" s="48">
        <f>F163</f>
        <v>1</v>
      </c>
      <c r="G60" s="163"/>
      <c r="H60" s="363">
        <f>SUM(J60:O60)</f>
        <v>24000</v>
      </c>
      <c r="I60" s="456">
        <v>4000</v>
      </c>
      <c r="J60" s="728">
        <f t="shared" ref="J60:O62" si="12">$I60*J163</f>
        <v>4000</v>
      </c>
      <c r="K60" s="617">
        <f t="shared" si="12"/>
        <v>4000</v>
      </c>
      <c r="L60" s="617">
        <f t="shared" si="12"/>
        <v>4000</v>
      </c>
      <c r="M60" s="617">
        <f t="shared" si="12"/>
        <v>4000</v>
      </c>
      <c r="N60" s="617">
        <f t="shared" si="12"/>
        <v>4000</v>
      </c>
      <c r="O60" s="744">
        <f t="shared" si="12"/>
        <v>4000</v>
      </c>
      <c r="P60" s="25"/>
      <c r="Q60" s="25"/>
      <c r="R60" s="25"/>
      <c r="S60" s="25"/>
      <c r="T60" s="25"/>
      <c r="U60" s="25"/>
      <c r="V60" s="25"/>
      <c r="W60" s="332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</row>
    <row r="61" spans="1:43" s="333" customFormat="1" ht="12.75">
      <c r="A61" s="25"/>
      <c r="B61" s="128"/>
      <c r="C61" s="47" t="str">
        <f t="shared" ref="C61:C62" si="13">C164</f>
        <v>Staff 02</v>
      </c>
      <c r="D61" s="48" t="s">
        <v>182</v>
      </c>
      <c r="E61" s="48"/>
      <c r="F61" s="48">
        <f>F164</f>
        <v>1</v>
      </c>
      <c r="G61" s="163"/>
      <c r="H61" s="357">
        <f t="shared" ref="H61:H62" si="14">SUM(J61:O61)</f>
        <v>4000</v>
      </c>
      <c r="I61" s="456">
        <v>1000</v>
      </c>
      <c r="J61" s="731">
        <f t="shared" si="12"/>
        <v>0</v>
      </c>
      <c r="K61" s="340">
        <f t="shared" si="12"/>
        <v>0</v>
      </c>
      <c r="L61" s="340">
        <f t="shared" si="12"/>
        <v>1000</v>
      </c>
      <c r="M61" s="340">
        <f t="shared" si="12"/>
        <v>1000</v>
      </c>
      <c r="N61" s="340">
        <f t="shared" si="12"/>
        <v>1000</v>
      </c>
      <c r="O61" s="745">
        <f t="shared" si="12"/>
        <v>1000</v>
      </c>
      <c r="P61" s="25"/>
      <c r="Q61" s="25"/>
      <c r="R61" s="25"/>
      <c r="S61" s="25"/>
      <c r="T61" s="25"/>
      <c r="U61" s="25"/>
      <c r="V61" s="25"/>
      <c r="W61" s="332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</row>
    <row r="62" spans="1:43" s="333" customFormat="1" ht="12.75">
      <c r="A62" s="25"/>
      <c r="B62" s="128"/>
      <c r="C62" s="47" t="str">
        <f t="shared" si="13"/>
        <v>Staff 01</v>
      </c>
      <c r="D62" s="48" t="s">
        <v>182</v>
      </c>
      <c r="E62" s="48"/>
      <c r="F62" s="48">
        <f>F165</f>
        <v>1</v>
      </c>
      <c r="G62" s="163"/>
      <c r="H62" s="357">
        <f t="shared" si="14"/>
        <v>1500</v>
      </c>
      <c r="I62" s="456">
        <v>500</v>
      </c>
      <c r="J62" s="734">
        <f t="shared" si="12"/>
        <v>0</v>
      </c>
      <c r="K62" s="735">
        <f t="shared" si="12"/>
        <v>0</v>
      </c>
      <c r="L62" s="735">
        <f t="shared" si="12"/>
        <v>0</v>
      </c>
      <c r="M62" s="735">
        <f t="shared" si="12"/>
        <v>500</v>
      </c>
      <c r="N62" s="735">
        <f t="shared" si="12"/>
        <v>500</v>
      </c>
      <c r="O62" s="746">
        <f t="shared" si="12"/>
        <v>500</v>
      </c>
      <c r="P62" s="25"/>
      <c r="Q62" s="25"/>
      <c r="R62" s="25"/>
      <c r="S62" s="25"/>
      <c r="T62" s="25"/>
      <c r="U62" s="25"/>
      <c r="V62" s="25"/>
      <c r="W62" s="332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</row>
    <row r="63" spans="1:43" s="333" customFormat="1" ht="12.75">
      <c r="A63" s="25"/>
      <c r="B63" s="128" t="s">
        <v>210</v>
      </c>
      <c r="C63" s="499" t="s">
        <v>234</v>
      </c>
      <c r="D63" s="343"/>
      <c r="E63" s="343"/>
      <c r="F63" s="343">
        <f>SUM(F60:F62)</f>
        <v>3</v>
      </c>
      <c r="G63" s="184"/>
      <c r="H63" s="370">
        <f>SUM(H60:H62)</f>
        <v>29500</v>
      </c>
      <c r="I63" s="747"/>
      <c r="J63" s="846">
        <f>SUM(J60:J62)</f>
        <v>4000</v>
      </c>
      <c r="K63" s="846">
        <f t="shared" ref="K63:O63" si="15">SUM(K60:K62)</f>
        <v>4000</v>
      </c>
      <c r="L63" s="846">
        <f t="shared" si="15"/>
        <v>5000</v>
      </c>
      <c r="M63" s="846">
        <f t="shared" si="15"/>
        <v>5500</v>
      </c>
      <c r="N63" s="846">
        <f t="shared" si="15"/>
        <v>5500</v>
      </c>
      <c r="O63" s="846">
        <f t="shared" si="15"/>
        <v>5500</v>
      </c>
      <c r="P63" s="25"/>
      <c r="Q63" s="25"/>
      <c r="R63" s="25"/>
      <c r="S63" s="25"/>
      <c r="T63" s="25"/>
      <c r="U63" s="25"/>
      <c r="V63" s="25"/>
      <c r="W63" s="332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</row>
    <row r="64" spans="1:43" s="25" customFormat="1" ht="12.75">
      <c r="B64" s="128"/>
      <c r="G64" s="128"/>
      <c r="H64" s="128"/>
      <c r="I64" s="332"/>
      <c r="J64" s="332"/>
      <c r="W64" s="332"/>
    </row>
    <row r="65" spans="1:43" s="333" customFormat="1" ht="12.75">
      <c r="A65" s="25"/>
      <c r="B65" s="128"/>
      <c r="C65" s="38" t="s">
        <v>159</v>
      </c>
      <c r="D65" s="39"/>
      <c r="E65" s="39"/>
      <c r="F65" s="39"/>
      <c r="G65" s="157"/>
      <c r="H65" s="157"/>
      <c r="I65" s="651"/>
      <c r="J65" s="651"/>
      <c r="K65" s="39" t="s">
        <v>261</v>
      </c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 t="s">
        <v>160</v>
      </c>
      <c r="W65" s="332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</row>
    <row r="66" spans="1:43" s="333" customFormat="1" ht="12.75">
      <c r="A66" s="25"/>
      <c r="B66" s="128"/>
      <c r="C66" s="42" t="s">
        <v>161</v>
      </c>
      <c r="D66" s="43" t="s">
        <v>162</v>
      </c>
      <c r="E66" s="43"/>
      <c r="F66" s="43" t="s">
        <v>163</v>
      </c>
      <c r="G66" s="43" t="s">
        <v>34</v>
      </c>
      <c r="H66" s="43" t="s">
        <v>157</v>
      </c>
      <c r="I66" s="748" t="s">
        <v>1616</v>
      </c>
      <c r="J66" s="748" t="s">
        <v>258</v>
      </c>
      <c r="K66" s="45">
        <v>41456</v>
      </c>
      <c r="L66" s="45">
        <v>41487</v>
      </c>
      <c r="M66" s="45">
        <v>41518</v>
      </c>
      <c r="N66" s="45">
        <v>41548</v>
      </c>
      <c r="O66" s="45">
        <v>41579</v>
      </c>
      <c r="P66" s="45">
        <v>41609</v>
      </c>
      <c r="Q66" s="45">
        <v>41640</v>
      </c>
      <c r="R66" s="45">
        <v>41671</v>
      </c>
      <c r="S66" s="45">
        <v>41699</v>
      </c>
      <c r="T66" s="45">
        <v>41730</v>
      </c>
      <c r="U66" s="45">
        <v>41760</v>
      </c>
      <c r="V66" s="45">
        <v>41791</v>
      </c>
      <c r="W66" s="332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</row>
    <row r="67" spans="1:43" s="25" customFormat="1" ht="12.75">
      <c r="B67" s="128"/>
      <c r="C67" s="497" t="s">
        <v>166</v>
      </c>
      <c r="D67" s="48"/>
      <c r="E67" s="48"/>
      <c r="F67" s="51"/>
      <c r="G67" s="49"/>
      <c r="H67" s="199"/>
      <c r="I67" s="547"/>
      <c r="J67" s="547"/>
      <c r="K67" s="749"/>
      <c r="L67" s="455"/>
      <c r="M67" s="455"/>
      <c r="N67" s="455"/>
      <c r="O67" s="455"/>
      <c r="P67" s="455"/>
      <c r="Q67" s="455"/>
      <c r="R67" s="455"/>
      <c r="S67" s="455"/>
      <c r="T67" s="455"/>
      <c r="U67" s="455"/>
      <c r="V67" s="516"/>
      <c r="W67" s="332"/>
    </row>
    <row r="68" spans="1:43" s="25" customFormat="1" ht="12.75">
      <c r="B68" s="128"/>
      <c r="C68" s="47" t="str">
        <f>C35</f>
        <v>President</v>
      </c>
      <c r="D68" s="48" t="s">
        <v>168</v>
      </c>
      <c r="E68" s="48" t="str">
        <f>CONCATENATE(C68,D68)</f>
        <v>PresidentFT</v>
      </c>
      <c r="F68" s="51">
        <f>F171</f>
        <v>1</v>
      </c>
      <c r="G68" s="49"/>
      <c r="H68" s="357">
        <f>SUM(K68:V68)</f>
        <v>90999.999999999985</v>
      </c>
      <c r="I68" s="661">
        <f>VLOOKUP(E68,$E$35:$I$56,3,FALSE)</f>
        <v>91000</v>
      </c>
      <c r="J68" s="661">
        <f>I68/12</f>
        <v>7583.333333333333</v>
      </c>
      <c r="K68" s="572">
        <f t="shared" ref="K68:V68" si="16">$J68*K171</f>
        <v>7583.333333333333</v>
      </c>
      <c r="L68" s="51">
        <f t="shared" si="16"/>
        <v>7583.333333333333</v>
      </c>
      <c r="M68" s="51">
        <f t="shared" si="16"/>
        <v>7583.333333333333</v>
      </c>
      <c r="N68" s="51">
        <f t="shared" si="16"/>
        <v>7583.333333333333</v>
      </c>
      <c r="O68" s="51">
        <f t="shared" si="16"/>
        <v>7583.333333333333</v>
      </c>
      <c r="P68" s="51">
        <f t="shared" si="16"/>
        <v>7583.333333333333</v>
      </c>
      <c r="Q68" s="51">
        <f t="shared" si="16"/>
        <v>7583.333333333333</v>
      </c>
      <c r="R68" s="51">
        <f t="shared" si="16"/>
        <v>7583.333333333333</v>
      </c>
      <c r="S68" s="51">
        <f t="shared" si="16"/>
        <v>7583.333333333333</v>
      </c>
      <c r="T68" s="51">
        <f t="shared" si="16"/>
        <v>7583.333333333333</v>
      </c>
      <c r="U68" s="51">
        <f t="shared" si="16"/>
        <v>7583.333333333333</v>
      </c>
      <c r="V68" s="368">
        <f t="shared" si="16"/>
        <v>7583.333333333333</v>
      </c>
      <c r="W68" s="332"/>
    </row>
    <row r="69" spans="1:43" s="25" customFormat="1" ht="12.75">
      <c r="B69" s="128"/>
      <c r="C69" s="47" t="str">
        <f>C36</f>
        <v>Vice President</v>
      </c>
      <c r="D69" s="48" t="s">
        <v>168</v>
      </c>
      <c r="E69" s="48" t="str">
        <f t="shared" ref="E69" si="17">CONCATENATE(C69,D69)</f>
        <v>Vice PresidentFT</v>
      </c>
      <c r="F69" s="51">
        <f>F172</f>
        <v>1</v>
      </c>
      <c r="G69" s="49"/>
      <c r="H69" s="357">
        <f t="shared" ref="H69" si="18">SUM(K69:V69)</f>
        <v>64999.999999999993</v>
      </c>
      <c r="I69" s="661">
        <f>VLOOKUP(E69,$E$35:$I$56,3,FALSE)</f>
        <v>65000</v>
      </c>
      <c r="J69" s="661">
        <f t="shared" ref="J69" si="19">I69/12</f>
        <v>5416.666666666667</v>
      </c>
      <c r="K69" s="572">
        <f t="shared" ref="K69:V69" si="20">$J69*K172</f>
        <v>5416.666666666667</v>
      </c>
      <c r="L69" s="51">
        <f t="shared" si="20"/>
        <v>5416.666666666667</v>
      </c>
      <c r="M69" s="51">
        <f t="shared" si="20"/>
        <v>5416.666666666667</v>
      </c>
      <c r="N69" s="51">
        <f t="shared" si="20"/>
        <v>5416.666666666667</v>
      </c>
      <c r="O69" s="51">
        <f t="shared" si="20"/>
        <v>5416.666666666667</v>
      </c>
      <c r="P69" s="51">
        <f t="shared" si="20"/>
        <v>5416.666666666667</v>
      </c>
      <c r="Q69" s="51">
        <f t="shared" si="20"/>
        <v>5416.666666666667</v>
      </c>
      <c r="R69" s="51">
        <f t="shared" si="20"/>
        <v>5416.666666666667</v>
      </c>
      <c r="S69" s="51">
        <f t="shared" si="20"/>
        <v>5416.666666666667</v>
      </c>
      <c r="T69" s="51">
        <f t="shared" si="20"/>
        <v>5416.666666666667</v>
      </c>
      <c r="U69" s="51">
        <f t="shared" si="20"/>
        <v>5416.666666666667</v>
      </c>
      <c r="V69" s="368">
        <f t="shared" si="20"/>
        <v>5416.666666666667</v>
      </c>
      <c r="W69" s="332"/>
    </row>
    <row r="70" spans="1:43" s="25" customFormat="1" ht="12.75">
      <c r="B70" s="128"/>
      <c r="C70" s="60"/>
      <c r="D70" s="61"/>
      <c r="E70" s="61"/>
      <c r="F70" s="34"/>
      <c r="G70" s="62"/>
      <c r="H70" s="369"/>
      <c r="I70" s="750"/>
      <c r="J70" s="750"/>
      <c r="K70" s="573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520"/>
      <c r="W70" s="332"/>
    </row>
    <row r="71" spans="1:43" s="25" customFormat="1" ht="12.75" hidden="1">
      <c r="B71" s="128" t="s">
        <v>166</v>
      </c>
      <c r="C71" s="48"/>
      <c r="D71" s="48"/>
      <c r="E71" s="48"/>
      <c r="F71" s="51">
        <f>SUM(F68:F70)</f>
        <v>2</v>
      </c>
      <c r="G71" s="49"/>
      <c r="H71" s="456">
        <f>SUM(H68:H70)</f>
        <v>155999.99999999997</v>
      </c>
      <c r="I71" s="661"/>
      <c r="J71" s="66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332"/>
    </row>
    <row r="72" spans="1:43" s="25" customFormat="1" ht="7.5" customHeight="1">
      <c r="B72" s="128"/>
      <c r="F72" s="32"/>
      <c r="G72" s="49"/>
      <c r="H72" s="49"/>
      <c r="I72" s="332"/>
      <c r="J72" s="3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32"/>
    </row>
    <row r="73" spans="1:43" s="25" customFormat="1" ht="12.75">
      <c r="B73" s="128"/>
      <c r="C73" s="534" t="str">
        <f>C176</f>
        <v>Administrative</v>
      </c>
      <c r="D73" s="455"/>
      <c r="E73" s="455"/>
      <c r="F73" s="364"/>
      <c r="G73" s="186"/>
      <c r="H73" s="199"/>
      <c r="I73" s="751"/>
      <c r="J73" s="752"/>
      <c r="K73" s="506"/>
      <c r="L73" s="364"/>
      <c r="M73" s="364"/>
      <c r="N73" s="364"/>
      <c r="O73" s="364"/>
      <c r="P73" s="364"/>
      <c r="Q73" s="364"/>
      <c r="R73" s="364"/>
      <c r="S73" s="364"/>
      <c r="T73" s="364"/>
      <c r="U73" s="364"/>
      <c r="V73" s="365"/>
      <c r="W73" s="332"/>
    </row>
    <row r="74" spans="1:43" s="25" customFormat="1" ht="12.75">
      <c r="B74" s="128"/>
      <c r="C74" s="498" t="str">
        <f t="shared" ref="C74:C80" si="21">C177</f>
        <v>Finance &amp; Accounting</v>
      </c>
      <c r="D74" s="48"/>
      <c r="E74" s="48"/>
      <c r="F74" s="51"/>
      <c r="G74" s="49"/>
      <c r="H74" s="200"/>
      <c r="I74" s="547"/>
      <c r="J74" s="737"/>
      <c r="K74" s="572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368"/>
      <c r="W74" s="332"/>
    </row>
    <row r="75" spans="1:43" s="25" customFormat="1" ht="12.75">
      <c r="B75" s="128"/>
      <c r="C75" s="47" t="str">
        <f t="shared" si="21"/>
        <v>Financial Controller</v>
      </c>
      <c r="D75" s="48" t="s">
        <v>168</v>
      </c>
      <c r="E75" s="48" t="str">
        <f>CONCATENATE(C75,D75)</f>
        <v>Financial ControllerFT</v>
      </c>
      <c r="F75" s="51">
        <f>F178</f>
        <v>1</v>
      </c>
      <c r="G75" s="49"/>
      <c r="H75" s="753">
        <f t="shared" ref="H75:H76" si="22">SUM(K75:V75)</f>
        <v>18750</v>
      </c>
      <c r="I75" s="661">
        <f>VLOOKUP(E75,$E$35:$I$56,3,FALSE)</f>
        <v>18750</v>
      </c>
      <c r="J75" s="755">
        <f>I75/12</f>
        <v>1562.5</v>
      </c>
      <c r="K75" s="572">
        <f t="shared" ref="K75:V75" si="23">$J75*K178</f>
        <v>1562.5</v>
      </c>
      <c r="L75" s="51">
        <f t="shared" si="23"/>
        <v>1562.5</v>
      </c>
      <c r="M75" s="51">
        <f t="shared" si="23"/>
        <v>1562.5</v>
      </c>
      <c r="N75" s="51">
        <f t="shared" si="23"/>
        <v>1562.5</v>
      </c>
      <c r="O75" s="51">
        <f t="shared" si="23"/>
        <v>1562.5</v>
      </c>
      <c r="P75" s="51">
        <f t="shared" si="23"/>
        <v>1562.5</v>
      </c>
      <c r="Q75" s="51">
        <f t="shared" si="23"/>
        <v>1562.5</v>
      </c>
      <c r="R75" s="51">
        <f t="shared" si="23"/>
        <v>1562.5</v>
      </c>
      <c r="S75" s="51">
        <f t="shared" si="23"/>
        <v>1562.5</v>
      </c>
      <c r="T75" s="51">
        <f t="shared" si="23"/>
        <v>1562.5</v>
      </c>
      <c r="U75" s="51">
        <f t="shared" si="23"/>
        <v>1562.5</v>
      </c>
      <c r="V75" s="368">
        <f t="shared" si="23"/>
        <v>1562.5</v>
      </c>
      <c r="W75" s="332"/>
    </row>
    <row r="76" spans="1:43" s="25" customFormat="1" ht="12.75">
      <c r="B76" s="128"/>
      <c r="C76" s="47" t="str">
        <f t="shared" si="21"/>
        <v>Associate</v>
      </c>
      <c r="D76" s="48" t="s">
        <v>168</v>
      </c>
      <c r="E76" s="48" t="str">
        <f t="shared" ref="E76:E77" si="24">CONCATENATE(C76,D76)</f>
        <v>AssociateFT</v>
      </c>
      <c r="F76" s="51">
        <v>0</v>
      </c>
      <c r="G76" s="49"/>
      <c r="H76" s="753">
        <f t="shared" si="22"/>
        <v>2812.5</v>
      </c>
      <c r="I76" s="661">
        <f>VLOOKUP(E76,$E$35:$I$56,3,FALSE)</f>
        <v>3750</v>
      </c>
      <c r="J76" s="755">
        <f>I76/12</f>
        <v>312.5</v>
      </c>
      <c r="K76" s="572">
        <f t="shared" ref="K76:V76" si="25">$J76*K179</f>
        <v>0</v>
      </c>
      <c r="L76" s="51">
        <f t="shared" si="25"/>
        <v>0</v>
      </c>
      <c r="M76" s="51">
        <f t="shared" si="25"/>
        <v>0</v>
      </c>
      <c r="N76" s="51">
        <f t="shared" si="25"/>
        <v>312.5</v>
      </c>
      <c r="O76" s="51">
        <f t="shared" si="25"/>
        <v>312.5</v>
      </c>
      <c r="P76" s="51">
        <f t="shared" si="25"/>
        <v>312.5</v>
      </c>
      <c r="Q76" s="51">
        <f t="shared" si="25"/>
        <v>312.5</v>
      </c>
      <c r="R76" s="51">
        <f t="shared" si="25"/>
        <v>312.5</v>
      </c>
      <c r="S76" s="51">
        <f t="shared" si="25"/>
        <v>312.5</v>
      </c>
      <c r="T76" s="51">
        <f t="shared" si="25"/>
        <v>312.5</v>
      </c>
      <c r="U76" s="51">
        <f t="shared" si="25"/>
        <v>312.5</v>
      </c>
      <c r="V76" s="368">
        <f t="shared" si="25"/>
        <v>312.5</v>
      </c>
      <c r="W76" s="332"/>
    </row>
    <row r="77" spans="1:43" s="25" customFormat="1" ht="7.5" customHeight="1">
      <c r="B77" s="128"/>
      <c r="C77" s="47"/>
      <c r="D77" s="48"/>
      <c r="E77" s="48" t="str">
        <f t="shared" si="24"/>
        <v/>
      </c>
      <c r="F77" s="51"/>
      <c r="G77" s="49"/>
      <c r="H77" s="339"/>
      <c r="I77" s="547"/>
      <c r="J77" s="737"/>
      <c r="K77" s="572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368"/>
      <c r="W77" s="332"/>
    </row>
    <row r="78" spans="1:43" s="25" customFormat="1" ht="12.75">
      <c r="B78" s="128"/>
      <c r="C78" s="498" t="str">
        <f t="shared" si="21"/>
        <v>Human Resource Management</v>
      </c>
      <c r="D78" s="48"/>
      <c r="E78" s="48"/>
      <c r="F78" s="51"/>
      <c r="G78" s="49"/>
      <c r="H78" s="339"/>
      <c r="I78" s="547"/>
      <c r="J78" s="737"/>
      <c r="K78" s="572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368"/>
      <c r="W78" s="332"/>
    </row>
    <row r="79" spans="1:43" s="25" customFormat="1" ht="12.75">
      <c r="B79" s="128"/>
      <c r="C79" s="47" t="str">
        <f t="shared" si="21"/>
        <v>Human Resource Manager</v>
      </c>
      <c r="D79" s="48" t="s">
        <v>168</v>
      </c>
      <c r="E79" s="48" t="str">
        <f t="shared" ref="E79:E80" si="26">CONCATENATE(C79,D79)</f>
        <v>Human Resource ManagerFT</v>
      </c>
      <c r="F79" s="51">
        <f t="shared" ref="F79" si="27">F182</f>
        <v>1</v>
      </c>
      <c r="G79" s="49"/>
      <c r="H79" s="753">
        <f t="shared" ref="H79:H80" si="28">SUM(K79:V79)</f>
        <v>18750</v>
      </c>
      <c r="I79" s="754">
        <f>VLOOKUP(E79,$E$35:$I$56,3,FALSE)</f>
        <v>18750</v>
      </c>
      <c r="J79" s="755">
        <f>I79/12</f>
        <v>1562.5</v>
      </c>
      <c r="K79" s="572">
        <f t="shared" ref="K79:V79" si="29">$J79*K182</f>
        <v>1562.5</v>
      </c>
      <c r="L79" s="51">
        <f t="shared" si="29"/>
        <v>1562.5</v>
      </c>
      <c r="M79" s="51">
        <f t="shared" si="29"/>
        <v>1562.5</v>
      </c>
      <c r="N79" s="51">
        <f t="shared" si="29"/>
        <v>1562.5</v>
      </c>
      <c r="O79" s="51">
        <f t="shared" si="29"/>
        <v>1562.5</v>
      </c>
      <c r="P79" s="51">
        <f t="shared" si="29"/>
        <v>1562.5</v>
      </c>
      <c r="Q79" s="51">
        <f t="shared" si="29"/>
        <v>1562.5</v>
      </c>
      <c r="R79" s="51">
        <f t="shared" si="29"/>
        <v>1562.5</v>
      </c>
      <c r="S79" s="51">
        <f t="shared" si="29"/>
        <v>1562.5</v>
      </c>
      <c r="T79" s="51">
        <f t="shared" si="29"/>
        <v>1562.5</v>
      </c>
      <c r="U79" s="51">
        <f t="shared" si="29"/>
        <v>1562.5</v>
      </c>
      <c r="V79" s="368">
        <f t="shared" si="29"/>
        <v>1562.5</v>
      </c>
      <c r="W79" s="332"/>
    </row>
    <row r="80" spans="1:43" s="25" customFormat="1" ht="12.75">
      <c r="B80" s="128"/>
      <c r="C80" s="60" t="str">
        <f t="shared" si="21"/>
        <v>Associate</v>
      </c>
      <c r="D80" s="61" t="s">
        <v>168</v>
      </c>
      <c r="E80" s="61" t="str">
        <f t="shared" si="26"/>
        <v>AssociateFT</v>
      </c>
      <c r="F80" s="34">
        <v>0</v>
      </c>
      <c r="G80" s="62"/>
      <c r="H80" s="756">
        <f t="shared" si="28"/>
        <v>0</v>
      </c>
      <c r="I80" s="757">
        <f>VLOOKUP(E80,$E$35:$I$56,3,FALSE)</f>
        <v>3750</v>
      </c>
      <c r="J80" s="758">
        <f>I80/12</f>
        <v>312.5</v>
      </c>
      <c r="K80" s="573">
        <f t="shared" ref="K80:V80" si="30">$J80*K183</f>
        <v>0</v>
      </c>
      <c r="L80" s="34">
        <f t="shared" si="30"/>
        <v>0</v>
      </c>
      <c r="M80" s="34">
        <f t="shared" si="30"/>
        <v>0</v>
      </c>
      <c r="N80" s="34">
        <f t="shared" si="30"/>
        <v>0</v>
      </c>
      <c r="O80" s="34">
        <f t="shared" si="30"/>
        <v>0</v>
      </c>
      <c r="P80" s="34">
        <f t="shared" si="30"/>
        <v>0</v>
      </c>
      <c r="Q80" s="34">
        <f t="shared" si="30"/>
        <v>0</v>
      </c>
      <c r="R80" s="34">
        <f t="shared" si="30"/>
        <v>0</v>
      </c>
      <c r="S80" s="34">
        <f t="shared" si="30"/>
        <v>0</v>
      </c>
      <c r="T80" s="34">
        <f t="shared" si="30"/>
        <v>0</v>
      </c>
      <c r="U80" s="34">
        <f t="shared" si="30"/>
        <v>0</v>
      </c>
      <c r="V80" s="520">
        <f t="shared" si="30"/>
        <v>0</v>
      </c>
      <c r="W80" s="332"/>
    </row>
    <row r="81" spans="2:23" s="25" customFormat="1" ht="12.75" hidden="1">
      <c r="B81" s="128" t="s">
        <v>173</v>
      </c>
      <c r="C81" s="48"/>
      <c r="D81" s="48"/>
      <c r="E81" s="48"/>
      <c r="F81" s="51">
        <f>SUM(F75:F76)</f>
        <v>1</v>
      </c>
      <c r="G81" s="49"/>
      <c r="H81" s="340">
        <f>SUM(H75:H76)</f>
        <v>21562.5</v>
      </c>
      <c r="I81" s="754"/>
      <c r="J81" s="759"/>
      <c r="K81" s="456"/>
      <c r="L81" s="456"/>
      <c r="M81" s="456"/>
      <c r="N81" s="456"/>
      <c r="O81" s="456"/>
      <c r="P81" s="456"/>
      <c r="Q81" s="456"/>
      <c r="R81" s="456"/>
      <c r="S81" s="456"/>
      <c r="T81" s="456"/>
      <c r="U81" s="456"/>
      <c r="V81" s="456"/>
      <c r="W81" s="332"/>
    </row>
    <row r="82" spans="2:23" s="25" customFormat="1" ht="12.75" hidden="1">
      <c r="B82" s="128" t="str">
        <f>C206</f>
        <v>Doctors</v>
      </c>
      <c r="C82" s="48"/>
      <c r="D82" s="48"/>
      <c r="E82" s="48"/>
      <c r="F82" s="51">
        <f>SUM(F79:F80)</f>
        <v>1</v>
      </c>
      <c r="G82" s="49"/>
      <c r="H82" s="340">
        <f>SUM(H79:H80)</f>
        <v>18750</v>
      </c>
      <c r="I82" s="754"/>
      <c r="J82" s="759"/>
      <c r="K82" s="456"/>
      <c r="L82" s="456"/>
      <c r="M82" s="456"/>
      <c r="N82" s="456"/>
      <c r="O82" s="456"/>
      <c r="P82" s="456"/>
      <c r="Q82" s="456"/>
      <c r="R82" s="456"/>
      <c r="S82" s="456"/>
      <c r="T82" s="456"/>
      <c r="U82" s="456"/>
      <c r="V82" s="456"/>
      <c r="W82" s="332"/>
    </row>
    <row r="83" spans="2:23" s="25" customFormat="1" ht="7.5" customHeight="1">
      <c r="B83" s="128"/>
      <c r="F83" s="32"/>
      <c r="G83" s="49"/>
      <c r="H83" s="49"/>
      <c r="I83" s="332"/>
      <c r="J83" s="332"/>
      <c r="K83" s="254"/>
      <c r="L83" s="254"/>
      <c r="M83" s="254"/>
      <c r="N83" s="254"/>
      <c r="O83" s="254"/>
      <c r="P83" s="254"/>
      <c r="Q83" s="254"/>
      <c r="R83" s="254"/>
      <c r="S83" s="254"/>
      <c r="T83" s="254"/>
      <c r="U83" s="254"/>
      <c r="V83" s="254"/>
      <c r="W83" s="332"/>
    </row>
    <row r="84" spans="2:23" s="25" customFormat="1" ht="12.75">
      <c r="B84" s="128"/>
      <c r="C84" s="534" t="str">
        <f t="shared" ref="C84:C89" si="31">C187</f>
        <v>Health Service Unit</v>
      </c>
      <c r="D84" s="455"/>
      <c r="E84" s="455"/>
      <c r="F84" s="364"/>
      <c r="G84" s="186"/>
      <c r="H84" s="199"/>
      <c r="I84" s="751"/>
      <c r="J84" s="752"/>
      <c r="K84" s="506"/>
      <c r="L84" s="364"/>
      <c r="M84" s="364"/>
      <c r="N84" s="364"/>
      <c r="O84" s="364"/>
      <c r="P84" s="364"/>
      <c r="Q84" s="364"/>
      <c r="R84" s="364"/>
      <c r="S84" s="364"/>
      <c r="T84" s="364"/>
      <c r="U84" s="364"/>
      <c r="V84" s="365"/>
      <c r="W84" s="332"/>
    </row>
    <row r="85" spans="2:23" s="25" customFormat="1" ht="12.75">
      <c r="B85" s="128"/>
      <c r="C85" s="497" t="str">
        <f t="shared" si="31"/>
        <v>Consultation</v>
      </c>
      <c r="D85" s="48"/>
      <c r="E85" s="48"/>
      <c r="F85" s="51"/>
      <c r="G85" s="49"/>
      <c r="H85" s="200"/>
      <c r="I85" s="754"/>
      <c r="J85" s="737"/>
      <c r="K85" s="572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368"/>
      <c r="W85" s="332"/>
    </row>
    <row r="86" spans="2:23" s="25" customFormat="1" ht="12.75">
      <c r="B86" s="128"/>
      <c r="C86" s="47" t="str">
        <f t="shared" si="31"/>
        <v>Department Head</v>
      </c>
      <c r="D86" s="48" t="s">
        <v>168</v>
      </c>
      <c r="E86" s="48" t="str">
        <f>CONCATENATE(C86,D86)</f>
        <v>Department HeadFT</v>
      </c>
      <c r="F86" s="51">
        <f t="shared" ref="F86:F131" si="32">F189</f>
        <v>1</v>
      </c>
      <c r="G86" s="49"/>
      <c r="H86" s="753">
        <f t="shared" ref="H86:H89" si="33">SUM(K86:V86)</f>
        <v>37500</v>
      </c>
      <c r="I86" s="754">
        <f>VLOOKUP(E86,$E$35:$I$56,3,FALSE)</f>
        <v>37500</v>
      </c>
      <c r="J86" s="755">
        <f>I86/12</f>
        <v>3125</v>
      </c>
      <c r="K86" s="572">
        <f t="shared" ref="K86:V86" si="34">$J86*K189</f>
        <v>3125</v>
      </c>
      <c r="L86" s="51">
        <f t="shared" si="34"/>
        <v>3125</v>
      </c>
      <c r="M86" s="51">
        <f t="shared" si="34"/>
        <v>3125</v>
      </c>
      <c r="N86" s="51">
        <f t="shared" si="34"/>
        <v>3125</v>
      </c>
      <c r="O86" s="51">
        <f t="shared" si="34"/>
        <v>3125</v>
      </c>
      <c r="P86" s="51">
        <f t="shared" si="34"/>
        <v>3125</v>
      </c>
      <c r="Q86" s="51">
        <f t="shared" si="34"/>
        <v>3125</v>
      </c>
      <c r="R86" s="51">
        <f t="shared" si="34"/>
        <v>3125</v>
      </c>
      <c r="S86" s="51">
        <f t="shared" si="34"/>
        <v>3125</v>
      </c>
      <c r="T86" s="51">
        <f t="shared" si="34"/>
        <v>3125</v>
      </c>
      <c r="U86" s="51">
        <f t="shared" si="34"/>
        <v>3125</v>
      </c>
      <c r="V86" s="368">
        <f t="shared" si="34"/>
        <v>3125</v>
      </c>
      <c r="W86" s="332"/>
    </row>
    <row r="87" spans="2:23" s="25" customFormat="1" ht="12.75">
      <c r="B87" s="128"/>
      <c r="C87" s="47" t="str">
        <f t="shared" si="31"/>
        <v>Doctors</v>
      </c>
      <c r="D87" s="48" t="s">
        <v>168</v>
      </c>
      <c r="E87" s="48" t="str">
        <f t="shared" ref="E87:E90" si="35">CONCATENATE(C87,D87)</f>
        <v>DoctorsFT</v>
      </c>
      <c r="F87" s="51">
        <f t="shared" si="32"/>
        <v>2</v>
      </c>
      <c r="G87" s="49"/>
      <c r="H87" s="753">
        <f t="shared" si="33"/>
        <v>62500.000000000007</v>
      </c>
      <c r="I87" s="754">
        <f>VLOOKUP(E87,$E$35:$I$56,3,FALSE)</f>
        <v>31250</v>
      </c>
      <c r="J87" s="755">
        <f t="shared" ref="J87:J89" si="36">I87/12</f>
        <v>2604.1666666666665</v>
      </c>
      <c r="K87" s="572">
        <f t="shared" ref="K87:V87" si="37">$J87*K190</f>
        <v>5208.333333333333</v>
      </c>
      <c r="L87" s="51">
        <f t="shared" si="37"/>
        <v>5208.333333333333</v>
      </c>
      <c r="M87" s="51">
        <f t="shared" si="37"/>
        <v>5208.333333333333</v>
      </c>
      <c r="N87" s="51">
        <f t="shared" si="37"/>
        <v>5208.333333333333</v>
      </c>
      <c r="O87" s="51">
        <f t="shared" si="37"/>
        <v>5208.333333333333</v>
      </c>
      <c r="P87" s="51">
        <f t="shared" si="37"/>
        <v>5208.333333333333</v>
      </c>
      <c r="Q87" s="51">
        <f t="shared" si="37"/>
        <v>5208.333333333333</v>
      </c>
      <c r="R87" s="51">
        <f t="shared" si="37"/>
        <v>5208.333333333333</v>
      </c>
      <c r="S87" s="51">
        <f t="shared" si="37"/>
        <v>5208.333333333333</v>
      </c>
      <c r="T87" s="51">
        <f t="shared" si="37"/>
        <v>5208.333333333333</v>
      </c>
      <c r="U87" s="51">
        <f t="shared" si="37"/>
        <v>5208.333333333333</v>
      </c>
      <c r="V87" s="368">
        <f t="shared" si="37"/>
        <v>5208.333333333333</v>
      </c>
      <c r="W87" s="332"/>
    </row>
    <row r="88" spans="2:23" s="25" customFormat="1" ht="12.75">
      <c r="B88" s="128"/>
      <c r="C88" s="47" t="str">
        <f t="shared" si="31"/>
        <v>Doctors</v>
      </c>
      <c r="D88" s="48" t="s">
        <v>182</v>
      </c>
      <c r="E88" s="48" t="str">
        <f t="shared" si="35"/>
        <v>DoctorsPT</v>
      </c>
      <c r="F88" s="51">
        <f t="shared" si="32"/>
        <v>2</v>
      </c>
      <c r="G88" s="49"/>
      <c r="H88" s="753">
        <f t="shared" si="33"/>
        <v>30000</v>
      </c>
      <c r="I88" s="754">
        <f>VLOOKUP(E88,$E$35:$I$56,3,FALSE)</f>
        <v>15000</v>
      </c>
      <c r="J88" s="755">
        <f t="shared" si="36"/>
        <v>1250</v>
      </c>
      <c r="K88" s="572">
        <f t="shared" ref="K88:V88" si="38">$J88*K191</f>
        <v>2500</v>
      </c>
      <c r="L88" s="51">
        <f t="shared" si="38"/>
        <v>2500</v>
      </c>
      <c r="M88" s="51">
        <f t="shared" si="38"/>
        <v>2500</v>
      </c>
      <c r="N88" s="51">
        <f t="shared" si="38"/>
        <v>2500</v>
      </c>
      <c r="O88" s="51">
        <f t="shared" si="38"/>
        <v>2500</v>
      </c>
      <c r="P88" s="51">
        <f t="shared" si="38"/>
        <v>2500</v>
      </c>
      <c r="Q88" s="51">
        <f t="shared" si="38"/>
        <v>2500</v>
      </c>
      <c r="R88" s="51">
        <f t="shared" si="38"/>
        <v>2500</v>
      </c>
      <c r="S88" s="51">
        <f t="shared" si="38"/>
        <v>2500</v>
      </c>
      <c r="T88" s="51">
        <f t="shared" si="38"/>
        <v>2500</v>
      </c>
      <c r="U88" s="51">
        <f t="shared" si="38"/>
        <v>2500</v>
      </c>
      <c r="V88" s="368">
        <f t="shared" si="38"/>
        <v>2500</v>
      </c>
      <c r="W88" s="332"/>
    </row>
    <row r="89" spans="2:23" s="25" customFormat="1" ht="12.75">
      <c r="B89" s="128"/>
      <c r="C89" s="47" t="str">
        <f t="shared" si="31"/>
        <v>Nurses</v>
      </c>
      <c r="D89" s="48" t="s">
        <v>168</v>
      </c>
      <c r="E89" s="48" t="str">
        <f t="shared" si="35"/>
        <v>NursesFT</v>
      </c>
      <c r="F89" s="51">
        <f t="shared" si="32"/>
        <v>4</v>
      </c>
      <c r="G89" s="49"/>
      <c r="H89" s="753">
        <f t="shared" si="33"/>
        <v>15000</v>
      </c>
      <c r="I89" s="754">
        <f>VLOOKUP(E89,$E$35:$I$56,3,FALSE)</f>
        <v>3750</v>
      </c>
      <c r="J89" s="755">
        <f t="shared" si="36"/>
        <v>312.5</v>
      </c>
      <c r="K89" s="572">
        <f t="shared" ref="K89:V89" si="39">$J89*K192</f>
        <v>1250</v>
      </c>
      <c r="L89" s="51">
        <f t="shared" si="39"/>
        <v>1250</v>
      </c>
      <c r="M89" s="51">
        <f t="shared" si="39"/>
        <v>1250</v>
      </c>
      <c r="N89" s="51">
        <f t="shared" si="39"/>
        <v>1250</v>
      </c>
      <c r="O89" s="51">
        <f t="shared" si="39"/>
        <v>1250</v>
      </c>
      <c r="P89" s="51">
        <f t="shared" si="39"/>
        <v>1250</v>
      </c>
      <c r="Q89" s="51">
        <f t="shared" si="39"/>
        <v>1250</v>
      </c>
      <c r="R89" s="51">
        <f t="shared" si="39"/>
        <v>1250</v>
      </c>
      <c r="S89" s="51">
        <f t="shared" si="39"/>
        <v>1250</v>
      </c>
      <c r="T89" s="51">
        <f t="shared" si="39"/>
        <v>1250</v>
      </c>
      <c r="U89" s="51">
        <f t="shared" si="39"/>
        <v>1250</v>
      </c>
      <c r="V89" s="368">
        <f t="shared" si="39"/>
        <v>1250</v>
      </c>
      <c r="W89" s="332"/>
    </row>
    <row r="90" spans="2:23" s="25" customFormat="1" ht="7.5" customHeight="1">
      <c r="B90" s="128"/>
      <c r="C90" s="47"/>
      <c r="D90" s="48"/>
      <c r="E90" s="48" t="str">
        <f t="shared" si="35"/>
        <v/>
      </c>
      <c r="F90" s="51"/>
      <c r="G90" s="49"/>
      <c r="H90" s="201"/>
      <c r="I90" s="754"/>
      <c r="J90" s="737"/>
      <c r="K90" s="572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368"/>
      <c r="W90" s="332"/>
    </row>
    <row r="91" spans="2:23" s="25" customFormat="1" ht="12.75">
      <c r="B91" s="128"/>
      <c r="C91" s="497" t="str">
        <f t="shared" ref="C91:C99" si="40">C194</f>
        <v>Laboratory Service</v>
      </c>
      <c r="D91" s="48"/>
      <c r="E91" s="48"/>
      <c r="F91" s="51"/>
      <c r="G91" s="49"/>
      <c r="H91" s="201"/>
      <c r="I91" s="754"/>
      <c r="J91" s="737"/>
      <c r="K91" s="572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368"/>
      <c r="W91" s="332"/>
    </row>
    <row r="92" spans="2:23" s="25" customFormat="1" ht="12.75">
      <c r="B92" s="128"/>
      <c r="C92" s="47" t="str">
        <f t="shared" si="40"/>
        <v>Department Head</v>
      </c>
      <c r="D92" s="48" t="s">
        <v>168</v>
      </c>
      <c r="E92" s="48" t="str">
        <f t="shared" ref="E92:E100" si="41">CONCATENATE(C92,D92)</f>
        <v>Department HeadFT</v>
      </c>
      <c r="F92" s="51">
        <f t="shared" si="32"/>
        <v>1</v>
      </c>
      <c r="G92" s="49">
        <v>1</v>
      </c>
      <c r="H92" s="753">
        <f t="shared" ref="H92:H99" si="42">SUM(K92:V92)</f>
        <v>37500</v>
      </c>
      <c r="I92" s="754">
        <f t="shared" ref="I92:I99" si="43">VLOOKUP(E92,$E$35:$I$56,3,FALSE)</f>
        <v>37500</v>
      </c>
      <c r="J92" s="755">
        <f t="shared" ref="J92:J99" si="44">I92/12</f>
        <v>3125</v>
      </c>
      <c r="K92" s="572">
        <f t="shared" ref="K92:V92" si="45">$J92*K195</f>
        <v>3125</v>
      </c>
      <c r="L92" s="51">
        <f t="shared" si="45"/>
        <v>3125</v>
      </c>
      <c r="M92" s="51">
        <f t="shared" si="45"/>
        <v>3125</v>
      </c>
      <c r="N92" s="51">
        <f t="shared" si="45"/>
        <v>3125</v>
      </c>
      <c r="O92" s="51">
        <f t="shared" si="45"/>
        <v>3125</v>
      </c>
      <c r="P92" s="51">
        <f t="shared" si="45"/>
        <v>3125</v>
      </c>
      <c r="Q92" s="51">
        <f t="shared" si="45"/>
        <v>3125</v>
      </c>
      <c r="R92" s="51">
        <f t="shared" si="45"/>
        <v>3125</v>
      </c>
      <c r="S92" s="51">
        <f t="shared" si="45"/>
        <v>3125</v>
      </c>
      <c r="T92" s="51">
        <f t="shared" si="45"/>
        <v>3125</v>
      </c>
      <c r="U92" s="51">
        <f t="shared" si="45"/>
        <v>3125</v>
      </c>
      <c r="V92" s="368">
        <f t="shared" si="45"/>
        <v>3125</v>
      </c>
      <c r="W92" s="332"/>
    </row>
    <row r="93" spans="2:23" s="25" customFormat="1" ht="12.75">
      <c r="B93" s="774"/>
      <c r="C93" s="47" t="str">
        <f t="shared" si="40"/>
        <v>Doctors</v>
      </c>
      <c r="D93" s="48" t="s">
        <v>168</v>
      </c>
      <c r="E93" s="48" t="str">
        <f t="shared" si="41"/>
        <v>DoctorsFT</v>
      </c>
      <c r="F93" s="51">
        <f t="shared" si="32"/>
        <v>1</v>
      </c>
      <c r="G93" s="49">
        <v>4</v>
      </c>
      <c r="H93" s="753">
        <f t="shared" si="42"/>
        <v>31250.000000000004</v>
      </c>
      <c r="I93" s="754">
        <f t="shared" si="43"/>
        <v>31250</v>
      </c>
      <c r="J93" s="755">
        <f t="shared" si="44"/>
        <v>2604.1666666666665</v>
      </c>
      <c r="K93" s="572">
        <f t="shared" ref="K93:V93" si="46">$J93*K196</f>
        <v>2604.1666666666665</v>
      </c>
      <c r="L93" s="51">
        <f t="shared" si="46"/>
        <v>2604.1666666666665</v>
      </c>
      <c r="M93" s="51">
        <f t="shared" si="46"/>
        <v>2604.1666666666665</v>
      </c>
      <c r="N93" s="51">
        <f t="shared" si="46"/>
        <v>2604.1666666666665</v>
      </c>
      <c r="O93" s="51">
        <f t="shared" si="46"/>
        <v>2604.1666666666665</v>
      </c>
      <c r="P93" s="51">
        <f t="shared" si="46"/>
        <v>2604.1666666666665</v>
      </c>
      <c r="Q93" s="51">
        <f t="shared" si="46"/>
        <v>2604.1666666666665</v>
      </c>
      <c r="R93" s="51">
        <f t="shared" si="46"/>
        <v>2604.1666666666665</v>
      </c>
      <c r="S93" s="51">
        <f t="shared" si="46"/>
        <v>2604.1666666666665</v>
      </c>
      <c r="T93" s="51">
        <f t="shared" si="46"/>
        <v>2604.1666666666665</v>
      </c>
      <c r="U93" s="51">
        <f t="shared" si="46"/>
        <v>2604.1666666666665</v>
      </c>
      <c r="V93" s="368">
        <f t="shared" si="46"/>
        <v>2604.1666666666665</v>
      </c>
      <c r="W93" s="332"/>
    </row>
    <row r="94" spans="2:23" s="25" customFormat="1" ht="12.75">
      <c r="B94" s="774"/>
      <c r="C94" s="47" t="str">
        <f t="shared" si="40"/>
        <v>Doctors</v>
      </c>
      <c r="D94" s="48" t="s">
        <v>182</v>
      </c>
      <c r="E94" s="48" t="str">
        <f t="shared" si="41"/>
        <v>DoctorsPT</v>
      </c>
      <c r="F94" s="51">
        <f t="shared" si="32"/>
        <v>0</v>
      </c>
      <c r="G94" s="49">
        <v>0</v>
      </c>
      <c r="H94" s="753">
        <f t="shared" si="42"/>
        <v>0</v>
      </c>
      <c r="I94" s="754">
        <f t="shared" si="43"/>
        <v>15000</v>
      </c>
      <c r="J94" s="755">
        <f t="shared" si="44"/>
        <v>1250</v>
      </c>
      <c r="K94" s="572">
        <f t="shared" ref="K94:V94" si="47">$J94*K197</f>
        <v>0</v>
      </c>
      <c r="L94" s="51">
        <f t="shared" si="47"/>
        <v>0</v>
      </c>
      <c r="M94" s="51">
        <f t="shared" si="47"/>
        <v>0</v>
      </c>
      <c r="N94" s="51">
        <f t="shared" si="47"/>
        <v>0</v>
      </c>
      <c r="O94" s="51">
        <f t="shared" si="47"/>
        <v>0</v>
      </c>
      <c r="P94" s="51">
        <f t="shared" si="47"/>
        <v>0</v>
      </c>
      <c r="Q94" s="51">
        <f t="shared" si="47"/>
        <v>0</v>
      </c>
      <c r="R94" s="51">
        <f t="shared" si="47"/>
        <v>0</v>
      </c>
      <c r="S94" s="51">
        <f t="shared" si="47"/>
        <v>0</v>
      </c>
      <c r="T94" s="51">
        <f t="shared" si="47"/>
        <v>0</v>
      </c>
      <c r="U94" s="51">
        <f t="shared" si="47"/>
        <v>0</v>
      </c>
      <c r="V94" s="368">
        <f t="shared" si="47"/>
        <v>0</v>
      </c>
      <c r="W94" s="332"/>
    </row>
    <row r="95" spans="2:23" s="25" customFormat="1" ht="12.75">
      <c r="B95" s="774"/>
      <c r="C95" s="47" t="str">
        <f t="shared" si="40"/>
        <v>Pharmacists</v>
      </c>
      <c r="D95" s="48" t="s">
        <v>168</v>
      </c>
      <c r="E95" s="48" t="str">
        <f t="shared" si="41"/>
        <v>PharmacistsFT</v>
      </c>
      <c r="F95" s="51">
        <f t="shared" si="32"/>
        <v>1</v>
      </c>
      <c r="G95" s="49">
        <v>6</v>
      </c>
      <c r="H95" s="753">
        <f t="shared" si="42"/>
        <v>18750</v>
      </c>
      <c r="I95" s="754">
        <f t="shared" si="43"/>
        <v>18750</v>
      </c>
      <c r="J95" s="755">
        <f t="shared" si="44"/>
        <v>1562.5</v>
      </c>
      <c r="K95" s="572">
        <f t="shared" ref="K95:V95" si="48">$J95*K198</f>
        <v>1562.5</v>
      </c>
      <c r="L95" s="51">
        <f t="shared" si="48"/>
        <v>1562.5</v>
      </c>
      <c r="M95" s="51">
        <f t="shared" si="48"/>
        <v>1562.5</v>
      </c>
      <c r="N95" s="51">
        <f t="shared" si="48"/>
        <v>1562.5</v>
      </c>
      <c r="O95" s="51">
        <f t="shared" si="48"/>
        <v>1562.5</v>
      </c>
      <c r="P95" s="51">
        <f t="shared" si="48"/>
        <v>1562.5</v>
      </c>
      <c r="Q95" s="51">
        <f t="shared" si="48"/>
        <v>1562.5</v>
      </c>
      <c r="R95" s="51">
        <f t="shared" si="48"/>
        <v>1562.5</v>
      </c>
      <c r="S95" s="51">
        <f t="shared" si="48"/>
        <v>1562.5</v>
      </c>
      <c r="T95" s="51">
        <f t="shared" si="48"/>
        <v>1562.5</v>
      </c>
      <c r="U95" s="51">
        <f t="shared" si="48"/>
        <v>1562.5</v>
      </c>
      <c r="V95" s="368">
        <f t="shared" si="48"/>
        <v>1562.5</v>
      </c>
      <c r="W95" s="332"/>
    </row>
    <row r="96" spans="2:23" s="25" customFormat="1" ht="12.75">
      <c r="B96" s="774"/>
      <c r="C96" s="47" t="str">
        <f t="shared" si="40"/>
        <v>Nurses</v>
      </c>
      <c r="D96" s="48" t="s">
        <v>168</v>
      </c>
      <c r="E96" s="48" t="str">
        <f t="shared" si="41"/>
        <v>NursesFT</v>
      </c>
      <c r="F96" s="51">
        <f t="shared" si="32"/>
        <v>0</v>
      </c>
      <c r="G96" s="49">
        <v>0</v>
      </c>
      <c r="H96" s="753">
        <f t="shared" si="42"/>
        <v>0</v>
      </c>
      <c r="I96" s="754">
        <f t="shared" si="43"/>
        <v>3750</v>
      </c>
      <c r="J96" s="755">
        <f t="shared" si="44"/>
        <v>312.5</v>
      </c>
      <c r="K96" s="572">
        <f t="shared" ref="K96:V96" si="49">$J96*K199</f>
        <v>0</v>
      </c>
      <c r="L96" s="51">
        <f t="shared" si="49"/>
        <v>0</v>
      </c>
      <c r="M96" s="51">
        <f t="shared" si="49"/>
        <v>0</v>
      </c>
      <c r="N96" s="51">
        <f t="shared" si="49"/>
        <v>0</v>
      </c>
      <c r="O96" s="51">
        <f t="shared" si="49"/>
        <v>0</v>
      </c>
      <c r="P96" s="51">
        <f t="shared" si="49"/>
        <v>0</v>
      </c>
      <c r="Q96" s="51">
        <f t="shared" si="49"/>
        <v>0</v>
      </c>
      <c r="R96" s="51">
        <f t="shared" si="49"/>
        <v>0</v>
      </c>
      <c r="S96" s="51">
        <f t="shared" si="49"/>
        <v>0</v>
      </c>
      <c r="T96" s="51">
        <f t="shared" si="49"/>
        <v>0</v>
      </c>
      <c r="U96" s="51">
        <f t="shared" si="49"/>
        <v>0</v>
      </c>
      <c r="V96" s="368">
        <f t="shared" si="49"/>
        <v>0</v>
      </c>
      <c r="W96" s="332"/>
    </row>
    <row r="97" spans="2:23" s="25" customFormat="1" ht="12.75">
      <c r="B97" s="774"/>
      <c r="C97" s="47" t="str">
        <f t="shared" si="40"/>
        <v>Engineers</v>
      </c>
      <c r="D97" s="48" t="s">
        <v>168</v>
      </c>
      <c r="E97" s="48" t="str">
        <f t="shared" si="41"/>
        <v>EngineersFT</v>
      </c>
      <c r="F97" s="51">
        <f t="shared" si="32"/>
        <v>1</v>
      </c>
      <c r="G97" s="49">
        <v>6</v>
      </c>
      <c r="H97" s="753">
        <f t="shared" si="42"/>
        <v>8750.0000000000018</v>
      </c>
      <c r="I97" s="754">
        <f t="shared" si="43"/>
        <v>8750</v>
      </c>
      <c r="J97" s="755">
        <f t="shared" si="44"/>
        <v>729.16666666666663</v>
      </c>
      <c r="K97" s="572">
        <f t="shared" ref="K97:V97" si="50">$J97*K200</f>
        <v>729.16666666666663</v>
      </c>
      <c r="L97" s="51">
        <f t="shared" si="50"/>
        <v>729.16666666666663</v>
      </c>
      <c r="M97" s="51">
        <f t="shared" si="50"/>
        <v>729.16666666666663</v>
      </c>
      <c r="N97" s="51">
        <f t="shared" si="50"/>
        <v>729.16666666666663</v>
      </c>
      <c r="O97" s="51">
        <f t="shared" si="50"/>
        <v>729.16666666666663</v>
      </c>
      <c r="P97" s="51">
        <f t="shared" si="50"/>
        <v>729.16666666666663</v>
      </c>
      <c r="Q97" s="51">
        <f t="shared" si="50"/>
        <v>729.16666666666663</v>
      </c>
      <c r="R97" s="51">
        <f t="shared" si="50"/>
        <v>729.16666666666663</v>
      </c>
      <c r="S97" s="51">
        <f t="shared" si="50"/>
        <v>729.16666666666663</v>
      </c>
      <c r="T97" s="51">
        <f t="shared" si="50"/>
        <v>729.16666666666663</v>
      </c>
      <c r="U97" s="51">
        <f t="shared" si="50"/>
        <v>729.16666666666663</v>
      </c>
      <c r="V97" s="368">
        <f t="shared" si="50"/>
        <v>729.16666666666663</v>
      </c>
      <c r="W97" s="332"/>
    </row>
    <row r="98" spans="2:23" s="25" customFormat="1" ht="12.75">
      <c r="B98" s="774"/>
      <c r="C98" s="47" t="str">
        <f t="shared" si="40"/>
        <v>Technicians</v>
      </c>
      <c r="D98" s="48" t="s">
        <v>168</v>
      </c>
      <c r="E98" s="48" t="str">
        <f t="shared" si="41"/>
        <v>TechniciansFT</v>
      </c>
      <c r="F98" s="51">
        <f t="shared" si="32"/>
        <v>5</v>
      </c>
      <c r="G98" s="49">
        <v>35</v>
      </c>
      <c r="H98" s="753">
        <f t="shared" si="42"/>
        <v>34999.999999999993</v>
      </c>
      <c r="I98" s="754">
        <f t="shared" si="43"/>
        <v>8750</v>
      </c>
      <c r="J98" s="755">
        <f t="shared" si="44"/>
        <v>729.16666666666663</v>
      </c>
      <c r="K98" s="572">
        <f t="shared" ref="K98:V98" si="51">$J98*K201</f>
        <v>2187.5</v>
      </c>
      <c r="L98" s="51">
        <f t="shared" si="51"/>
        <v>2187.5</v>
      </c>
      <c r="M98" s="51">
        <f t="shared" si="51"/>
        <v>2187.5</v>
      </c>
      <c r="N98" s="51">
        <f t="shared" si="51"/>
        <v>2187.5</v>
      </c>
      <c r="O98" s="51">
        <f t="shared" si="51"/>
        <v>2187.5</v>
      </c>
      <c r="P98" s="51">
        <f t="shared" si="51"/>
        <v>2187.5</v>
      </c>
      <c r="Q98" s="51">
        <f t="shared" si="51"/>
        <v>3645.833333333333</v>
      </c>
      <c r="R98" s="51">
        <f t="shared" si="51"/>
        <v>3645.833333333333</v>
      </c>
      <c r="S98" s="51">
        <f t="shared" si="51"/>
        <v>3645.833333333333</v>
      </c>
      <c r="T98" s="51">
        <f t="shared" si="51"/>
        <v>3645.833333333333</v>
      </c>
      <c r="U98" s="51">
        <f t="shared" si="51"/>
        <v>3645.833333333333</v>
      </c>
      <c r="V98" s="368">
        <f t="shared" si="51"/>
        <v>3645.833333333333</v>
      </c>
      <c r="W98" s="332"/>
    </row>
    <row r="99" spans="2:23" s="25" customFormat="1" ht="12.75">
      <c r="B99" s="774"/>
      <c r="C99" s="47" t="str">
        <f t="shared" si="40"/>
        <v>Others</v>
      </c>
      <c r="D99" s="48" t="s">
        <v>168</v>
      </c>
      <c r="E99" s="48" t="str">
        <f t="shared" si="41"/>
        <v>OthersFT</v>
      </c>
      <c r="F99" s="51">
        <f t="shared" si="32"/>
        <v>1</v>
      </c>
      <c r="G99" s="49">
        <v>6</v>
      </c>
      <c r="H99" s="753">
        <f t="shared" si="42"/>
        <v>1250</v>
      </c>
      <c r="I99" s="754">
        <f t="shared" si="43"/>
        <v>1250</v>
      </c>
      <c r="J99" s="755">
        <f t="shared" si="44"/>
        <v>104.16666666666667</v>
      </c>
      <c r="K99" s="572">
        <f t="shared" ref="K99:V99" si="52">$J99*K202</f>
        <v>104.16666666666667</v>
      </c>
      <c r="L99" s="51">
        <f t="shared" si="52"/>
        <v>104.16666666666667</v>
      </c>
      <c r="M99" s="51">
        <f t="shared" si="52"/>
        <v>104.16666666666667</v>
      </c>
      <c r="N99" s="51">
        <f t="shared" si="52"/>
        <v>104.16666666666667</v>
      </c>
      <c r="O99" s="51">
        <f t="shared" si="52"/>
        <v>104.16666666666667</v>
      </c>
      <c r="P99" s="51">
        <f t="shared" si="52"/>
        <v>104.16666666666667</v>
      </c>
      <c r="Q99" s="51">
        <f t="shared" si="52"/>
        <v>104.16666666666667</v>
      </c>
      <c r="R99" s="51">
        <f t="shared" si="52"/>
        <v>104.16666666666667</v>
      </c>
      <c r="S99" s="51">
        <f t="shared" si="52"/>
        <v>104.16666666666667</v>
      </c>
      <c r="T99" s="51">
        <f t="shared" si="52"/>
        <v>104.16666666666667</v>
      </c>
      <c r="U99" s="51">
        <f t="shared" si="52"/>
        <v>104.16666666666667</v>
      </c>
      <c r="V99" s="368">
        <f t="shared" si="52"/>
        <v>104.16666666666667</v>
      </c>
      <c r="W99" s="332"/>
    </row>
    <row r="100" spans="2:23" s="25" customFormat="1" ht="7.5" customHeight="1">
      <c r="B100" s="128"/>
      <c r="C100" s="47"/>
      <c r="D100" s="48"/>
      <c r="E100" s="48" t="str">
        <f t="shared" si="41"/>
        <v/>
      </c>
      <c r="F100" s="51"/>
      <c r="G100" s="49"/>
      <c r="H100" s="201"/>
      <c r="I100" s="754"/>
      <c r="J100" s="737"/>
      <c r="K100" s="572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368"/>
      <c r="W100" s="332"/>
    </row>
    <row r="101" spans="2:23" s="25" customFormat="1" ht="12.75">
      <c r="B101" s="128"/>
      <c r="C101" s="497" t="str">
        <f t="shared" ref="C101:C131" si="53">C204</f>
        <v>Imaging Diagnosis Service</v>
      </c>
      <c r="D101" s="48"/>
      <c r="E101" s="48"/>
      <c r="F101" s="51"/>
      <c r="G101" s="49"/>
      <c r="H101" s="201"/>
      <c r="I101" s="754"/>
      <c r="J101" s="737"/>
      <c r="K101" s="572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368"/>
      <c r="W101" s="332"/>
    </row>
    <row r="102" spans="2:23" s="25" customFormat="1" ht="12.75">
      <c r="B102" s="128"/>
      <c r="C102" s="498" t="str">
        <f t="shared" si="53"/>
        <v>X-Ray</v>
      </c>
      <c r="D102" s="48"/>
      <c r="E102" s="48"/>
      <c r="F102" s="51"/>
      <c r="G102" s="49"/>
      <c r="H102" s="201"/>
      <c r="I102" s="754"/>
      <c r="J102" s="737"/>
      <c r="K102" s="572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368"/>
      <c r="W102" s="332"/>
    </row>
    <row r="103" spans="2:23" s="25" customFormat="1" ht="12.75">
      <c r="B103" s="128"/>
      <c r="C103" s="47" t="str">
        <f t="shared" si="53"/>
        <v>Doctors</v>
      </c>
      <c r="D103" s="48" t="s">
        <v>168</v>
      </c>
      <c r="E103" s="48" t="str">
        <f t="shared" ref="E103:E107" si="54">CONCATENATE(C103,D103)</f>
        <v>DoctorsFT</v>
      </c>
      <c r="F103" s="51">
        <f t="shared" si="32"/>
        <v>1</v>
      </c>
      <c r="G103" s="49">
        <v>5</v>
      </c>
      <c r="H103" s="753">
        <f t="shared" ref="H103:H131" si="55">SUM(K103:V103)</f>
        <v>31250.000000000004</v>
      </c>
      <c r="I103" s="754">
        <f>VLOOKUP(E103,$E$35:$I$56,3,FALSE)</f>
        <v>31250</v>
      </c>
      <c r="J103" s="755">
        <f t="shared" ref="J103:J107" si="56">I103/12</f>
        <v>2604.1666666666665</v>
      </c>
      <c r="K103" s="572">
        <f t="shared" ref="K103:V103" si="57">$J103*K206</f>
        <v>2604.1666666666665</v>
      </c>
      <c r="L103" s="51">
        <f t="shared" si="57"/>
        <v>2604.1666666666665</v>
      </c>
      <c r="M103" s="51">
        <f t="shared" si="57"/>
        <v>2604.1666666666665</v>
      </c>
      <c r="N103" s="51">
        <f t="shared" si="57"/>
        <v>2604.1666666666665</v>
      </c>
      <c r="O103" s="51">
        <f t="shared" si="57"/>
        <v>2604.1666666666665</v>
      </c>
      <c r="P103" s="51">
        <f t="shared" si="57"/>
        <v>2604.1666666666665</v>
      </c>
      <c r="Q103" s="51">
        <f t="shared" si="57"/>
        <v>2604.1666666666665</v>
      </c>
      <c r="R103" s="51">
        <f t="shared" si="57"/>
        <v>2604.1666666666665</v>
      </c>
      <c r="S103" s="51">
        <f t="shared" si="57"/>
        <v>2604.1666666666665</v>
      </c>
      <c r="T103" s="51">
        <f t="shared" si="57"/>
        <v>2604.1666666666665</v>
      </c>
      <c r="U103" s="51">
        <f t="shared" si="57"/>
        <v>2604.1666666666665</v>
      </c>
      <c r="V103" s="368">
        <f t="shared" si="57"/>
        <v>2604.1666666666665</v>
      </c>
      <c r="W103" s="332"/>
    </row>
    <row r="104" spans="2:23" s="25" customFormat="1" ht="12.75">
      <c r="B104" s="128"/>
      <c r="C104" s="47" t="str">
        <f t="shared" si="53"/>
        <v>Doctors</v>
      </c>
      <c r="D104" s="48" t="s">
        <v>182</v>
      </c>
      <c r="E104" s="48" t="str">
        <f t="shared" si="54"/>
        <v>DoctorsPT</v>
      </c>
      <c r="F104" s="51">
        <f t="shared" si="32"/>
        <v>0</v>
      </c>
      <c r="G104" s="49" t="s">
        <v>189</v>
      </c>
      <c r="H104" s="753">
        <f t="shared" si="55"/>
        <v>0</v>
      </c>
      <c r="I104" s="754">
        <f>VLOOKUP(E104,$E$35:$I$56,3,FALSE)</f>
        <v>15000</v>
      </c>
      <c r="J104" s="755">
        <f t="shared" si="56"/>
        <v>1250</v>
      </c>
      <c r="K104" s="572">
        <f t="shared" ref="K104:V104" si="58">$J104*K207</f>
        <v>0</v>
      </c>
      <c r="L104" s="51">
        <f t="shared" si="58"/>
        <v>0</v>
      </c>
      <c r="M104" s="51">
        <f t="shared" si="58"/>
        <v>0</v>
      </c>
      <c r="N104" s="51">
        <f t="shared" si="58"/>
        <v>0</v>
      </c>
      <c r="O104" s="51">
        <f t="shared" si="58"/>
        <v>0</v>
      </c>
      <c r="P104" s="51">
        <f t="shared" si="58"/>
        <v>0</v>
      </c>
      <c r="Q104" s="51">
        <f t="shared" si="58"/>
        <v>0</v>
      </c>
      <c r="R104" s="51">
        <f t="shared" si="58"/>
        <v>0</v>
      </c>
      <c r="S104" s="51">
        <f t="shared" si="58"/>
        <v>0</v>
      </c>
      <c r="T104" s="51">
        <f t="shared" si="58"/>
        <v>0</v>
      </c>
      <c r="U104" s="51">
        <f t="shared" si="58"/>
        <v>0</v>
      </c>
      <c r="V104" s="368">
        <f t="shared" si="58"/>
        <v>0</v>
      </c>
      <c r="W104" s="332"/>
    </row>
    <row r="105" spans="2:23" s="25" customFormat="1" ht="12.75">
      <c r="B105" s="128"/>
      <c r="C105" s="47" t="str">
        <f t="shared" si="53"/>
        <v>Nurses</v>
      </c>
      <c r="D105" s="48" t="s">
        <v>168</v>
      </c>
      <c r="E105" s="48" t="str">
        <f t="shared" si="54"/>
        <v>NursesFT</v>
      </c>
      <c r="F105" s="51">
        <f t="shared" si="32"/>
        <v>1</v>
      </c>
      <c r="G105" s="49">
        <v>3</v>
      </c>
      <c r="H105" s="753">
        <f t="shared" si="55"/>
        <v>3750</v>
      </c>
      <c r="I105" s="754">
        <f>VLOOKUP(E105,$E$35:$I$56,3,FALSE)</f>
        <v>3750</v>
      </c>
      <c r="J105" s="755">
        <f t="shared" si="56"/>
        <v>312.5</v>
      </c>
      <c r="K105" s="572">
        <f t="shared" ref="K105:V105" si="59">$J105*K208</f>
        <v>312.5</v>
      </c>
      <c r="L105" s="51">
        <f t="shared" si="59"/>
        <v>312.5</v>
      </c>
      <c r="M105" s="51">
        <f t="shared" si="59"/>
        <v>312.5</v>
      </c>
      <c r="N105" s="51">
        <f t="shared" si="59"/>
        <v>312.5</v>
      </c>
      <c r="O105" s="51">
        <f t="shared" si="59"/>
        <v>312.5</v>
      </c>
      <c r="P105" s="51">
        <f t="shared" si="59"/>
        <v>312.5</v>
      </c>
      <c r="Q105" s="51">
        <f t="shared" si="59"/>
        <v>312.5</v>
      </c>
      <c r="R105" s="51">
        <f t="shared" si="59"/>
        <v>312.5</v>
      </c>
      <c r="S105" s="51">
        <f t="shared" si="59"/>
        <v>312.5</v>
      </c>
      <c r="T105" s="51">
        <f t="shared" si="59"/>
        <v>312.5</v>
      </c>
      <c r="U105" s="51">
        <f t="shared" si="59"/>
        <v>312.5</v>
      </c>
      <c r="V105" s="368">
        <f t="shared" si="59"/>
        <v>312.5</v>
      </c>
      <c r="W105" s="332"/>
    </row>
    <row r="106" spans="2:23" s="25" customFormat="1" ht="12.75">
      <c r="B106" s="128"/>
      <c r="C106" s="47" t="str">
        <f t="shared" si="53"/>
        <v>Technicians</v>
      </c>
      <c r="D106" s="48" t="s">
        <v>168</v>
      </c>
      <c r="E106" s="48" t="str">
        <f t="shared" si="54"/>
        <v>TechniciansFT</v>
      </c>
      <c r="F106" s="51">
        <f t="shared" si="32"/>
        <v>2</v>
      </c>
      <c r="G106" s="49">
        <v>10</v>
      </c>
      <c r="H106" s="753">
        <f t="shared" si="55"/>
        <v>17500.000000000004</v>
      </c>
      <c r="I106" s="754">
        <f>VLOOKUP(E106,$E$35:$I$56,3,FALSE)</f>
        <v>8750</v>
      </c>
      <c r="J106" s="755">
        <f t="shared" si="56"/>
        <v>729.16666666666663</v>
      </c>
      <c r="K106" s="572">
        <f t="shared" ref="K106:V106" si="60">$J106*K209</f>
        <v>1458.3333333333333</v>
      </c>
      <c r="L106" s="51">
        <f t="shared" si="60"/>
        <v>1458.3333333333333</v>
      </c>
      <c r="M106" s="51">
        <f t="shared" si="60"/>
        <v>1458.3333333333333</v>
      </c>
      <c r="N106" s="51">
        <f t="shared" si="60"/>
        <v>1458.3333333333333</v>
      </c>
      <c r="O106" s="51">
        <f t="shared" si="60"/>
        <v>1458.3333333333333</v>
      </c>
      <c r="P106" s="51">
        <f t="shared" si="60"/>
        <v>1458.3333333333333</v>
      </c>
      <c r="Q106" s="51">
        <f t="shared" si="60"/>
        <v>1458.3333333333333</v>
      </c>
      <c r="R106" s="51">
        <f t="shared" si="60"/>
        <v>1458.3333333333333</v>
      </c>
      <c r="S106" s="51">
        <f t="shared" si="60"/>
        <v>1458.3333333333333</v>
      </c>
      <c r="T106" s="51">
        <f t="shared" si="60"/>
        <v>1458.3333333333333</v>
      </c>
      <c r="U106" s="51">
        <f t="shared" si="60"/>
        <v>1458.3333333333333</v>
      </c>
      <c r="V106" s="368">
        <f t="shared" si="60"/>
        <v>1458.3333333333333</v>
      </c>
      <c r="W106" s="332"/>
    </row>
    <row r="107" spans="2:23" s="25" customFormat="1" ht="12.75">
      <c r="B107" s="128"/>
      <c r="C107" s="47" t="str">
        <f t="shared" si="53"/>
        <v>Others</v>
      </c>
      <c r="D107" s="48" t="s">
        <v>168</v>
      </c>
      <c r="E107" s="48" t="str">
        <f t="shared" si="54"/>
        <v>OthersFT</v>
      </c>
      <c r="F107" s="51">
        <f t="shared" si="32"/>
        <v>0</v>
      </c>
      <c r="G107" s="49">
        <v>8</v>
      </c>
      <c r="H107" s="753">
        <f t="shared" si="55"/>
        <v>0</v>
      </c>
      <c r="I107" s="754">
        <f>VLOOKUP(E107,$E$35:$I$56,3,FALSE)</f>
        <v>1250</v>
      </c>
      <c r="J107" s="755">
        <f t="shared" si="56"/>
        <v>104.16666666666667</v>
      </c>
      <c r="K107" s="572">
        <f t="shared" ref="K107:V107" si="61">$J107*K210</f>
        <v>0</v>
      </c>
      <c r="L107" s="51">
        <f t="shared" si="61"/>
        <v>0</v>
      </c>
      <c r="M107" s="51">
        <f t="shared" si="61"/>
        <v>0</v>
      </c>
      <c r="N107" s="51">
        <f t="shared" si="61"/>
        <v>0</v>
      </c>
      <c r="O107" s="51">
        <f t="shared" si="61"/>
        <v>0</v>
      </c>
      <c r="P107" s="51">
        <f t="shared" si="61"/>
        <v>0</v>
      </c>
      <c r="Q107" s="51">
        <f t="shared" si="61"/>
        <v>0</v>
      </c>
      <c r="R107" s="51">
        <f t="shared" si="61"/>
        <v>0</v>
      </c>
      <c r="S107" s="51">
        <f t="shared" si="61"/>
        <v>0</v>
      </c>
      <c r="T107" s="51">
        <f t="shared" si="61"/>
        <v>0</v>
      </c>
      <c r="U107" s="51">
        <f t="shared" si="61"/>
        <v>0</v>
      </c>
      <c r="V107" s="368">
        <f t="shared" si="61"/>
        <v>0</v>
      </c>
      <c r="W107" s="332"/>
    </row>
    <row r="108" spans="2:23" s="25" customFormat="1" ht="12.75">
      <c r="B108" s="128"/>
      <c r="C108" s="498" t="str">
        <f t="shared" si="53"/>
        <v>Ultrasound</v>
      </c>
      <c r="D108" s="48"/>
      <c r="E108" s="48"/>
      <c r="F108" s="51"/>
      <c r="G108" s="49"/>
      <c r="H108" s="753"/>
      <c r="I108" s="754"/>
      <c r="J108" s="737"/>
      <c r="K108" s="572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368"/>
      <c r="W108" s="332"/>
    </row>
    <row r="109" spans="2:23" s="25" customFormat="1" ht="12.75">
      <c r="B109" s="128"/>
      <c r="C109" s="47" t="str">
        <f t="shared" si="53"/>
        <v>Doctors</v>
      </c>
      <c r="D109" s="48" t="s">
        <v>168</v>
      </c>
      <c r="E109" s="48" t="str">
        <f t="shared" ref="E109:E113" si="62">CONCATENATE(C109,D109)</f>
        <v>DoctorsFT</v>
      </c>
      <c r="F109" s="51">
        <f t="shared" si="32"/>
        <v>1</v>
      </c>
      <c r="G109" s="49">
        <v>5</v>
      </c>
      <c r="H109" s="753">
        <f t="shared" si="55"/>
        <v>31250.000000000004</v>
      </c>
      <c r="I109" s="754">
        <f>VLOOKUP(E109,$E$35:$I$56,3,FALSE)</f>
        <v>31250</v>
      </c>
      <c r="J109" s="755">
        <f t="shared" ref="J109:J113" si="63">I109/12</f>
        <v>2604.1666666666665</v>
      </c>
      <c r="K109" s="572">
        <f t="shared" ref="K109:V109" si="64">$J109*K212</f>
        <v>2604.1666666666665</v>
      </c>
      <c r="L109" s="51">
        <f t="shared" si="64"/>
        <v>2604.1666666666665</v>
      </c>
      <c r="M109" s="51">
        <f t="shared" si="64"/>
        <v>2604.1666666666665</v>
      </c>
      <c r="N109" s="51">
        <f t="shared" si="64"/>
        <v>2604.1666666666665</v>
      </c>
      <c r="O109" s="51">
        <f t="shared" si="64"/>
        <v>2604.1666666666665</v>
      </c>
      <c r="P109" s="51">
        <f t="shared" si="64"/>
        <v>2604.1666666666665</v>
      </c>
      <c r="Q109" s="51">
        <f t="shared" si="64"/>
        <v>2604.1666666666665</v>
      </c>
      <c r="R109" s="51">
        <f t="shared" si="64"/>
        <v>2604.1666666666665</v>
      </c>
      <c r="S109" s="51">
        <f t="shared" si="64"/>
        <v>2604.1666666666665</v>
      </c>
      <c r="T109" s="51">
        <f t="shared" si="64"/>
        <v>2604.1666666666665</v>
      </c>
      <c r="U109" s="51">
        <f t="shared" si="64"/>
        <v>2604.1666666666665</v>
      </c>
      <c r="V109" s="368">
        <f t="shared" si="64"/>
        <v>2604.1666666666665</v>
      </c>
      <c r="W109" s="332"/>
    </row>
    <row r="110" spans="2:23" s="25" customFormat="1" ht="12.75">
      <c r="B110" s="128"/>
      <c r="C110" s="47" t="str">
        <f t="shared" si="53"/>
        <v>Doctors</v>
      </c>
      <c r="D110" s="48" t="s">
        <v>182</v>
      </c>
      <c r="E110" s="48" t="str">
        <f t="shared" si="62"/>
        <v>DoctorsPT</v>
      </c>
      <c r="F110" s="51">
        <f t="shared" si="32"/>
        <v>1</v>
      </c>
      <c r="G110" s="49" t="s">
        <v>189</v>
      </c>
      <c r="H110" s="753">
        <f t="shared" si="55"/>
        <v>15000</v>
      </c>
      <c r="I110" s="754">
        <f>VLOOKUP(E110,$E$35:$I$56,3,FALSE)</f>
        <v>15000</v>
      </c>
      <c r="J110" s="755">
        <f t="shared" si="63"/>
        <v>1250</v>
      </c>
      <c r="K110" s="572">
        <f t="shared" ref="K110:V110" si="65">$J110*K213</f>
        <v>1250</v>
      </c>
      <c r="L110" s="51">
        <f t="shared" si="65"/>
        <v>1250</v>
      </c>
      <c r="M110" s="51">
        <f t="shared" si="65"/>
        <v>1250</v>
      </c>
      <c r="N110" s="51">
        <f t="shared" si="65"/>
        <v>1250</v>
      </c>
      <c r="O110" s="51">
        <f t="shared" si="65"/>
        <v>1250</v>
      </c>
      <c r="P110" s="51">
        <f t="shared" si="65"/>
        <v>1250</v>
      </c>
      <c r="Q110" s="51">
        <f t="shared" si="65"/>
        <v>1250</v>
      </c>
      <c r="R110" s="51">
        <f t="shared" si="65"/>
        <v>1250</v>
      </c>
      <c r="S110" s="51">
        <f t="shared" si="65"/>
        <v>1250</v>
      </c>
      <c r="T110" s="51">
        <f t="shared" si="65"/>
        <v>1250</v>
      </c>
      <c r="U110" s="51">
        <f t="shared" si="65"/>
        <v>1250</v>
      </c>
      <c r="V110" s="368">
        <f t="shared" si="65"/>
        <v>1250</v>
      </c>
      <c r="W110" s="332"/>
    </row>
    <row r="111" spans="2:23" s="25" customFormat="1" ht="12.75">
      <c r="B111" s="128"/>
      <c r="C111" s="47" t="str">
        <f t="shared" si="53"/>
        <v>Nurses</v>
      </c>
      <c r="D111" s="48" t="s">
        <v>168</v>
      </c>
      <c r="E111" s="48" t="str">
        <f t="shared" si="62"/>
        <v>NursesFT</v>
      </c>
      <c r="F111" s="51">
        <f t="shared" si="32"/>
        <v>3</v>
      </c>
      <c r="G111" s="49">
        <v>25</v>
      </c>
      <c r="H111" s="753">
        <f t="shared" si="55"/>
        <v>9687.5</v>
      </c>
      <c r="I111" s="754">
        <f>VLOOKUP(E111,$E$35:$I$56,3,FALSE)</f>
        <v>3750</v>
      </c>
      <c r="J111" s="755">
        <f t="shared" si="63"/>
        <v>312.5</v>
      </c>
      <c r="K111" s="572">
        <f t="shared" ref="K111:V111" si="66">$J111*K214</f>
        <v>625</v>
      </c>
      <c r="L111" s="51">
        <f t="shared" si="66"/>
        <v>625</v>
      </c>
      <c r="M111" s="51">
        <f t="shared" si="66"/>
        <v>625</v>
      </c>
      <c r="N111" s="51">
        <f t="shared" si="66"/>
        <v>625</v>
      </c>
      <c r="O111" s="51">
        <f t="shared" si="66"/>
        <v>625</v>
      </c>
      <c r="P111" s="51">
        <f t="shared" si="66"/>
        <v>937.5</v>
      </c>
      <c r="Q111" s="51">
        <f t="shared" si="66"/>
        <v>937.5</v>
      </c>
      <c r="R111" s="51">
        <f t="shared" si="66"/>
        <v>937.5</v>
      </c>
      <c r="S111" s="51">
        <f t="shared" si="66"/>
        <v>937.5</v>
      </c>
      <c r="T111" s="51">
        <f t="shared" si="66"/>
        <v>937.5</v>
      </c>
      <c r="U111" s="51">
        <f t="shared" si="66"/>
        <v>937.5</v>
      </c>
      <c r="V111" s="368">
        <f t="shared" si="66"/>
        <v>937.5</v>
      </c>
      <c r="W111" s="332"/>
    </row>
    <row r="112" spans="2:23" s="25" customFormat="1" ht="12.75">
      <c r="B112" s="128"/>
      <c r="C112" s="47" t="str">
        <f t="shared" si="53"/>
        <v>Technicians</v>
      </c>
      <c r="D112" s="48" t="s">
        <v>168</v>
      </c>
      <c r="E112" s="48" t="str">
        <f t="shared" si="62"/>
        <v>TechniciansFT</v>
      </c>
      <c r="F112" s="51">
        <f t="shared" si="32"/>
        <v>1</v>
      </c>
      <c r="G112" s="49">
        <v>2</v>
      </c>
      <c r="H112" s="753">
        <f t="shared" si="55"/>
        <v>8750.0000000000018</v>
      </c>
      <c r="I112" s="754">
        <f>VLOOKUP(E112,$E$35:$I$56,3,FALSE)</f>
        <v>8750</v>
      </c>
      <c r="J112" s="755">
        <f t="shared" si="63"/>
        <v>729.16666666666663</v>
      </c>
      <c r="K112" s="572">
        <f t="shared" ref="K112:V112" si="67">$J112*K215</f>
        <v>729.16666666666663</v>
      </c>
      <c r="L112" s="51">
        <f t="shared" si="67"/>
        <v>729.16666666666663</v>
      </c>
      <c r="M112" s="51">
        <f t="shared" si="67"/>
        <v>729.16666666666663</v>
      </c>
      <c r="N112" s="51">
        <f t="shared" si="67"/>
        <v>729.16666666666663</v>
      </c>
      <c r="O112" s="51">
        <f t="shared" si="67"/>
        <v>729.16666666666663</v>
      </c>
      <c r="P112" s="51">
        <f t="shared" si="67"/>
        <v>729.16666666666663</v>
      </c>
      <c r="Q112" s="51">
        <f t="shared" si="67"/>
        <v>729.16666666666663</v>
      </c>
      <c r="R112" s="51">
        <f t="shared" si="67"/>
        <v>729.16666666666663</v>
      </c>
      <c r="S112" s="51">
        <f t="shared" si="67"/>
        <v>729.16666666666663</v>
      </c>
      <c r="T112" s="51">
        <f t="shared" si="67"/>
        <v>729.16666666666663</v>
      </c>
      <c r="U112" s="51">
        <f t="shared" si="67"/>
        <v>729.16666666666663</v>
      </c>
      <c r="V112" s="368">
        <f t="shared" si="67"/>
        <v>729.16666666666663</v>
      </c>
      <c r="W112" s="332"/>
    </row>
    <row r="113" spans="2:23" s="25" customFormat="1" ht="12.75">
      <c r="B113" s="128"/>
      <c r="C113" s="47" t="str">
        <f t="shared" si="53"/>
        <v>Others</v>
      </c>
      <c r="D113" s="48" t="s">
        <v>168</v>
      </c>
      <c r="E113" s="48" t="str">
        <f t="shared" si="62"/>
        <v>OthersFT</v>
      </c>
      <c r="F113" s="51">
        <f t="shared" si="32"/>
        <v>1</v>
      </c>
      <c r="G113" s="49">
        <v>2</v>
      </c>
      <c r="H113" s="753">
        <f t="shared" si="55"/>
        <v>1250</v>
      </c>
      <c r="I113" s="754">
        <f>VLOOKUP(E113,$E$35:$I$56,3,FALSE)</f>
        <v>1250</v>
      </c>
      <c r="J113" s="755">
        <f t="shared" si="63"/>
        <v>104.16666666666667</v>
      </c>
      <c r="K113" s="572">
        <f t="shared" ref="K113:V113" si="68">$J113*K216</f>
        <v>104.16666666666667</v>
      </c>
      <c r="L113" s="51">
        <f t="shared" si="68"/>
        <v>104.16666666666667</v>
      </c>
      <c r="M113" s="51">
        <f t="shared" si="68"/>
        <v>104.16666666666667</v>
      </c>
      <c r="N113" s="51">
        <f t="shared" si="68"/>
        <v>104.16666666666667</v>
      </c>
      <c r="O113" s="51">
        <f t="shared" si="68"/>
        <v>104.16666666666667</v>
      </c>
      <c r="P113" s="51">
        <f t="shared" si="68"/>
        <v>104.16666666666667</v>
      </c>
      <c r="Q113" s="51">
        <f t="shared" si="68"/>
        <v>104.16666666666667</v>
      </c>
      <c r="R113" s="51">
        <f t="shared" si="68"/>
        <v>104.16666666666667</v>
      </c>
      <c r="S113" s="51">
        <f t="shared" si="68"/>
        <v>104.16666666666667</v>
      </c>
      <c r="T113" s="51">
        <f t="shared" si="68"/>
        <v>104.16666666666667</v>
      </c>
      <c r="U113" s="51">
        <f t="shared" si="68"/>
        <v>104.16666666666667</v>
      </c>
      <c r="V113" s="368">
        <f t="shared" si="68"/>
        <v>104.16666666666667</v>
      </c>
      <c r="W113" s="332"/>
    </row>
    <row r="114" spans="2:23" s="25" customFormat="1" ht="12.75">
      <c r="B114" s="128"/>
      <c r="C114" s="498" t="str">
        <f t="shared" si="53"/>
        <v>Endoscopy</v>
      </c>
      <c r="D114" s="48"/>
      <c r="E114" s="48"/>
      <c r="F114" s="51"/>
      <c r="G114" s="49"/>
      <c r="H114" s="753"/>
      <c r="I114" s="754"/>
      <c r="J114" s="737"/>
      <c r="K114" s="572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368"/>
      <c r="W114" s="332"/>
    </row>
    <row r="115" spans="2:23" s="25" customFormat="1" ht="12.75">
      <c r="B115" s="128"/>
      <c r="C115" s="47" t="str">
        <f t="shared" si="53"/>
        <v>Doctors</v>
      </c>
      <c r="D115" s="48" t="s">
        <v>168</v>
      </c>
      <c r="E115" s="48" t="str">
        <f t="shared" ref="E115:E119" si="69">CONCATENATE(C115,D115)</f>
        <v>DoctorsFT</v>
      </c>
      <c r="F115" s="51">
        <f t="shared" si="32"/>
        <v>1</v>
      </c>
      <c r="G115" s="49">
        <v>9</v>
      </c>
      <c r="H115" s="753">
        <f t="shared" si="55"/>
        <v>31250.000000000004</v>
      </c>
      <c r="I115" s="754">
        <f>VLOOKUP(E115,$E$35:$I$56,3,FALSE)</f>
        <v>31250</v>
      </c>
      <c r="J115" s="755">
        <f t="shared" ref="J115:J119" si="70">I115/12</f>
        <v>2604.1666666666665</v>
      </c>
      <c r="K115" s="572">
        <f t="shared" ref="K115:V115" si="71">$J115*K218</f>
        <v>2604.1666666666665</v>
      </c>
      <c r="L115" s="51">
        <f t="shared" si="71"/>
        <v>2604.1666666666665</v>
      </c>
      <c r="M115" s="51">
        <f t="shared" si="71"/>
        <v>2604.1666666666665</v>
      </c>
      <c r="N115" s="51">
        <f t="shared" si="71"/>
        <v>2604.1666666666665</v>
      </c>
      <c r="O115" s="51">
        <f t="shared" si="71"/>
        <v>2604.1666666666665</v>
      </c>
      <c r="P115" s="51">
        <f t="shared" si="71"/>
        <v>2604.1666666666665</v>
      </c>
      <c r="Q115" s="51">
        <f t="shared" si="71"/>
        <v>2604.1666666666665</v>
      </c>
      <c r="R115" s="51">
        <f t="shared" si="71"/>
        <v>2604.1666666666665</v>
      </c>
      <c r="S115" s="51">
        <f t="shared" si="71"/>
        <v>2604.1666666666665</v>
      </c>
      <c r="T115" s="51">
        <f t="shared" si="71"/>
        <v>2604.1666666666665</v>
      </c>
      <c r="U115" s="51">
        <f t="shared" si="71"/>
        <v>2604.1666666666665</v>
      </c>
      <c r="V115" s="368">
        <f t="shared" si="71"/>
        <v>2604.1666666666665</v>
      </c>
      <c r="W115" s="332"/>
    </row>
    <row r="116" spans="2:23" s="25" customFormat="1" ht="12.75">
      <c r="B116" s="128"/>
      <c r="C116" s="47" t="str">
        <f t="shared" si="53"/>
        <v>Doctors</v>
      </c>
      <c r="D116" s="48" t="s">
        <v>182</v>
      </c>
      <c r="E116" s="48" t="str">
        <f t="shared" si="69"/>
        <v>DoctorsPT</v>
      </c>
      <c r="F116" s="51">
        <f t="shared" si="32"/>
        <v>1</v>
      </c>
      <c r="G116" s="49" t="s">
        <v>189</v>
      </c>
      <c r="H116" s="753">
        <f t="shared" si="55"/>
        <v>12500</v>
      </c>
      <c r="I116" s="754">
        <f>VLOOKUP(E116,$E$35:$I$56,3,FALSE)</f>
        <v>15000</v>
      </c>
      <c r="J116" s="755">
        <f t="shared" si="70"/>
        <v>1250</v>
      </c>
      <c r="K116" s="572">
        <f t="shared" ref="K116:V116" si="72">$J116*K219</f>
        <v>0</v>
      </c>
      <c r="L116" s="51">
        <f t="shared" si="72"/>
        <v>0</v>
      </c>
      <c r="M116" s="51">
        <f t="shared" si="72"/>
        <v>1250</v>
      </c>
      <c r="N116" s="51">
        <f t="shared" si="72"/>
        <v>1250</v>
      </c>
      <c r="O116" s="51">
        <f t="shared" si="72"/>
        <v>1250</v>
      </c>
      <c r="P116" s="51">
        <f t="shared" si="72"/>
        <v>1250</v>
      </c>
      <c r="Q116" s="51">
        <f t="shared" si="72"/>
        <v>1250</v>
      </c>
      <c r="R116" s="51">
        <f t="shared" si="72"/>
        <v>1250</v>
      </c>
      <c r="S116" s="51">
        <f t="shared" si="72"/>
        <v>1250</v>
      </c>
      <c r="T116" s="51">
        <f t="shared" si="72"/>
        <v>1250</v>
      </c>
      <c r="U116" s="51">
        <f t="shared" si="72"/>
        <v>1250</v>
      </c>
      <c r="V116" s="368">
        <f t="shared" si="72"/>
        <v>1250</v>
      </c>
      <c r="W116" s="332"/>
    </row>
    <row r="117" spans="2:23" s="25" customFormat="1" ht="12.75">
      <c r="B117" s="128"/>
      <c r="C117" s="47" t="str">
        <f t="shared" si="53"/>
        <v>Nurses</v>
      </c>
      <c r="D117" s="48" t="s">
        <v>168</v>
      </c>
      <c r="E117" s="48" t="str">
        <f t="shared" si="69"/>
        <v>NursesFT</v>
      </c>
      <c r="F117" s="51">
        <f t="shared" si="32"/>
        <v>3</v>
      </c>
      <c r="G117" s="49">
        <v>7</v>
      </c>
      <c r="H117" s="753">
        <f t="shared" si="55"/>
        <v>11250</v>
      </c>
      <c r="I117" s="754">
        <f>VLOOKUP(E117,$E$35:$I$56,3,FALSE)</f>
        <v>3750</v>
      </c>
      <c r="J117" s="755">
        <f t="shared" si="70"/>
        <v>312.5</v>
      </c>
      <c r="K117" s="572">
        <f t="shared" ref="K117:V117" si="73">$J117*K220</f>
        <v>937.5</v>
      </c>
      <c r="L117" s="51">
        <f t="shared" si="73"/>
        <v>937.5</v>
      </c>
      <c r="M117" s="51">
        <f t="shared" si="73"/>
        <v>937.5</v>
      </c>
      <c r="N117" s="51">
        <f t="shared" si="73"/>
        <v>937.5</v>
      </c>
      <c r="O117" s="51">
        <f t="shared" si="73"/>
        <v>937.5</v>
      </c>
      <c r="P117" s="51">
        <f t="shared" si="73"/>
        <v>937.5</v>
      </c>
      <c r="Q117" s="51">
        <f t="shared" si="73"/>
        <v>937.5</v>
      </c>
      <c r="R117" s="51">
        <f t="shared" si="73"/>
        <v>937.5</v>
      </c>
      <c r="S117" s="51">
        <f t="shared" si="73"/>
        <v>937.5</v>
      </c>
      <c r="T117" s="51">
        <f t="shared" si="73"/>
        <v>937.5</v>
      </c>
      <c r="U117" s="51">
        <f t="shared" si="73"/>
        <v>937.5</v>
      </c>
      <c r="V117" s="368">
        <f t="shared" si="73"/>
        <v>937.5</v>
      </c>
      <c r="W117" s="332"/>
    </row>
    <row r="118" spans="2:23" s="25" customFormat="1" ht="12.75">
      <c r="B118" s="128"/>
      <c r="C118" s="47" t="str">
        <f t="shared" si="53"/>
        <v>Technicians</v>
      </c>
      <c r="D118" s="48" t="s">
        <v>168</v>
      </c>
      <c r="E118" s="48" t="str">
        <f t="shared" si="69"/>
        <v>TechniciansFT</v>
      </c>
      <c r="F118" s="51">
        <f t="shared" si="32"/>
        <v>1</v>
      </c>
      <c r="G118" s="49">
        <v>2</v>
      </c>
      <c r="H118" s="753">
        <f t="shared" si="55"/>
        <v>8750.0000000000018</v>
      </c>
      <c r="I118" s="754">
        <f>VLOOKUP(E118,$E$35:$I$56,3,FALSE)</f>
        <v>8750</v>
      </c>
      <c r="J118" s="755">
        <f t="shared" si="70"/>
        <v>729.16666666666663</v>
      </c>
      <c r="K118" s="572">
        <f t="shared" ref="K118:V118" si="74">$J118*K221</f>
        <v>729.16666666666663</v>
      </c>
      <c r="L118" s="51">
        <f t="shared" si="74"/>
        <v>729.16666666666663</v>
      </c>
      <c r="M118" s="51">
        <f t="shared" si="74"/>
        <v>729.16666666666663</v>
      </c>
      <c r="N118" s="51">
        <f t="shared" si="74"/>
        <v>729.16666666666663</v>
      </c>
      <c r="O118" s="51">
        <f t="shared" si="74"/>
        <v>729.16666666666663</v>
      </c>
      <c r="P118" s="51">
        <f t="shared" si="74"/>
        <v>729.16666666666663</v>
      </c>
      <c r="Q118" s="51">
        <f t="shared" si="74"/>
        <v>729.16666666666663</v>
      </c>
      <c r="R118" s="51">
        <f t="shared" si="74"/>
        <v>729.16666666666663</v>
      </c>
      <c r="S118" s="51">
        <f t="shared" si="74"/>
        <v>729.16666666666663</v>
      </c>
      <c r="T118" s="51">
        <f t="shared" si="74"/>
        <v>729.16666666666663</v>
      </c>
      <c r="U118" s="51">
        <f t="shared" si="74"/>
        <v>729.16666666666663</v>
      </c>
      <c r="V118" s="368">
        <f t="shared" si="74"/>
        <v>729.16666666666663</v>
      </c>
      <c r="W118" s="332"/>
    </row>
    <row r="119" spans="2:23" s="25" customFormat="1" ht="12.75">
      <c r="B119" s="128"/>
      <c r="C119" s="47" t="str">
        <f t="shared" si="53"/>
        <v>Others</v>
      </c>
      <c r="D119" s="48" t="s">
        <v>168</v>
      </c>
      <c r="E119" s="48" t="str">
        <f t="shared" si="69"/>
        <v>OthersFT</v>
      </c>
      <c r="F119" s="51">
        <f t="shared" si="32"/>
        <v>1</v>
      </c>
      <c r="G119" s="49">
        <v>4</v>
      </c>
      <c r="H119" s="753">
        <f t="shared" si="55"/>
        <v>1250</v>
      </c>
      <c r="I119" s="754">
        <f>VLOOKUP(E119,$E$35:$I$56,3,FALSE)</f>
        <v>1250</v>
      </c>
      <c r="J119" s="755">
        <f t="shared" si="70"/>
        <v>104.16666666666667</v>
      </c>
      <c r="K119" s="572">
        <f t="shared" ref="K119:V119" si="75">$J119*K222</f>
        <v>104.16666666666667</v>
      </c>
      <c r="L119" s="51">
        <f t="shared" si="75"/>
        <v>104.16666666666667</v>
      </c>
      <c r="M119" s="51">
        <f t="shared" si="75"/>
        <v>104.16666666666667</v>
      </c>
      <c r="N119" s="51">
        <f t="shared" si="75"/>
        <v>104.16666666666667</v>
      </c>
      <c r="O119" s="51">
        <f t="shared" si="75"/>
        <v>104.16666666666667</v>
      </c>
      <c r="P119" s="51">
        <f t="shared" si="75"/>
        <v>104.16666666666667</v>
      </c>
      <c r="Q119" s="51">
        <f t="shared" si="75"/>
        <v>104.16666666666667</v>
      </c>
      <c r="R119" s="51">
        <f t="shared" si="75"/>
        <v>104.16666666666667</v>
      </c>
      <c r="S119" s="51">
        <f t="shared" si="75"/>
        <v>104.16666666666667</v>
      </c>
      <c r="T119" s="51">
        <f t="shared" si="75"/>
        <v>104.16666666666667</v>
      </c>
      <c r="U119" s="51">
        <f t="shared" si="75"/>
        <v>104.16666666666667</v>
      </c>
      <c r="V119" s="368">
        <f t="shared" si="75"/>
        <v>104.16666666666667</v>
      </c>
      <c r="W119" s="332"/>
    </row>
    <row r="120" spans="2:23" s="25" customFormat="1" ht="12.75">
      <c r="B120" s="128"/>
      <c r="C120" s="498" t="str">
        <f t="shared" si="53"/>
        <v>CT Scan/PET-Scan</v>
      </c>
      <c r="D120" s="48"/>
      <c r="E120" s="48"/>
      <c r="F120" s="51"/>
      <c r="G120" s="49"/>
      <c r="H120" s="753"/>
      <c r="I120" s="754"/>
      <c r="J120" s="737"/>
      <c r="K120" s="572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368"/>
      <c r="W120" s="332"/>
    </row>
    <row r="121" spans="2:23" s="25" customFormat="1" ht="12.75">
      <c r="B121" s="128"/>
      <c r="C121" s="47" t="str">
        <f t="shared" si="53"/>
        <v>Doctors</v>
      </c>
      <c r="D121" s="48" t="s">
        <v>168</v>
      </c>
      <c r="E121" s="48" t="str">
        <f t="shared" ref="E121:E125" si="76">CONCATENATE(C121,D121)</f>
        <v>DoctorsFT</v>
      </c>
      <c r="F121" s="51">
        <f t="shared" si="32"/>
        <v>1</v>
      </c>
      <c r="G121" s="49">
        <v>16</v>
      </c>
      <c r="H121" s="753">
        <f t="shared" si="55"/>
        <v>31250.000000000004</v>
      </c>
      <c r="I121" s="754">
        <f>VLOOKUP(E121,$E$35:$I$56,3,FALSE)</f>
        <v>31250</v>
      </c>
      <c r="J121" s="755">
        <f t="shared" ref="J121:J125" si="77">I121/12</f>
        <v>2604.1666666666665</v>
      </c>
      <c r="K121" s="572">
        <f t="shared" ref="K121:V121" si="78">$J121*K224</f>
        <v>2604.1666666666665</v>
      </c>
      <c r="L121" s="51">
        <f t="shared" si="78"/>
        <v>2604.1666666666665</v>
      </c>
      <c r="M121" s="51">
        <f t="shared" si="78"/>
        <v>2604.1666666666665</v>
      </c>
      <c r="N121" s="51">
        <f t="shared" si="78"/>
        <v>2604.1666666666665</v>
      </c>
      <c r="O121" s="51">
        <f t="shared" si="78"/>
        <v>2604.1666666666665</v>
      </c>
      <c r="P121" s="51">
        <f t="shared" si="78"/>
        <v>2604.1666666666665</v>
      </c>
      <c r="Q121" s="51">
        <f t="shared" si="78"/>
        <v>2604.1666666666665</v>
      </c>
      <c r="R121" s="51">
        <f t="shared" si="78"/>
        <v>2604.1666666666665</v>
      </c>
      <c r="S121" s="51">
        <f t="shared" si="78"/>
        <v>2604.1666666666665</v>
      </c>
      <c r="T121" s="51">
        <f t="shared" si="78"/>
        <v>2604.1666666666665</v>
      </c>
      <c r="U121" s="51">
        <f t="shared" si="78"/>
        <v>2604.1666666666665</v>
      </c>
      <c r="V121" s="368">
        <f t="shared" si="78"/>
        <v>2604.1666666666665</v>
      </c>
      <c r="W121" s="332"/>
    </row>
    <row r="122" spans="2:23" s="25" customFormat="1" ht="12.75">
      <c r="B122" s="128"/>
      <c r="C122" s="47" t="str">
        <f t="shared" si="53"/>
        <v>Doctors</v>
      </c>
      <c r="D122" s="48" t="s">
        <v>182</v>
      </c>
      <c r="E122" s="48" t="str">
        <f t="shared" si="76"/>
        <v>DoctorsPT</v>
      </c>
      <c r="F122" s="51">
        <f t="shared" si="32"/>
        <v>0</v>
      </c>
      <c r="G122" s="49"/>
      <c r="H122" s="753">
        <f t="shared" si="55"/>
        <v>0</v>
      </c>
      <c r="I122" s="754">
        <f>VLOOKUP(E122,$E$35:$I$56,3,FALSE)</f>
        <v>15000</v>
      </c>
      <c r="J122" s="755">
        <f t="shared" si="77"/>
        <v>1250</v>
      </c>
      <c r="K122" s="572">
        <f t="shared" ref="K122:V122" si="79">$J122*K225</f>
        <v>0</v>
      </c>
      <c r="L122" s="51">
        <f t="shared" si="79"/>
        <v>0</v>
      </c>
      <c r="M122" s="51">
        <f t="shared" si="79"/>
        <v>0</v>
      </c>
      <c r="N122" s="51">
        <f t="shared" si="79"/>
        <v>0</v>
      </c>
      <c r="O122" s="51">
        <f t="shared" si="79"/>
        <v>0</v>
      </c>
      <c r="P122" s="51">
        <f t="shared" si="79"/>
        <v>0</v>
      </c>
      <c r="Q122" s="51">
        <f t="shared" si="79"/>
        <v>0</v>
      </c>
      <c r="R122" s="51">
        <f t="shared" si="79"/>
        <v>0</v>
      </c>
      <c r="S122" s="51">
        <f t="shared" si="79"/>
        <v>0</v>
      </c>
      <c r="T122" s="51">
        <f t="shared" si="79"/>
        <v>0</v>
      </c>
      <c r="U122" s="51">
        <f t="shared" si="79"/>
        <v>0</v>
      </c>
      <c r="V122" s="368">
        <f t="shared" si="79"/>
        <v>0</v>
      </c>
      <c r="W122" s="332"/>
    </row>
    <row r="123" spans="2:23" s="25" customFormat="1" ht="12.75">
      <c r="B123" s="128"/>
      <c r="C123" s="47" t="str">
        <f t="shared" si="53"/>
        <v>Nurses</v>
      </c>
      <c r="D123" s="48" t="s">
        <v>168</v>
      </c>
      <c r="E123" s="48" t="str">
        <f t="shared" si="76"/>
        <v>NursesFT</v>
      </c>
      <c r="F123" s="51">
        <f t="shared" si="32"/>
        <v>1</v>
      </c>
      <c r="G123" s="49">
        <v>5</v>
      </c>
      <c r="H123" s="753">
        <f t="shared" si="55"/>
        <v>3750</v>
      </c>
      <c r="I123" s="754">
        <f>VLOOKUP(E123,$E$35:$I$56,3,FALSE)</f>
        <v>3750</v>
      </c>
      <c r="J123" s="755">
        <f t="shared" si="77"/>
        <v>312.5</v>
      </c>
      <c r="K123" s="572">
        <f t="shared" ref="K123:V123" si="80">$J123*K226</f>
        <v>312.5</v>
      </c>
      <c r="L123" s="51">
        <f t="shared" si="80"/>
        <v>312.5</v>
      </c>
      <c r="M123" s="51">
        <f t="shared" si="80"/>
        <v>312.5</v>
      </c>
      <c r="N123" s="51">
        <f t="shared" si="80"/>
        <v>312.5</v>
      </c>
      <c r="O123" s="51">
        <f t="shared" si="80"/>
        <v>312.5</v>
      </c>
      <c r="P123" s="51">
        <f t="shared" si="80"/>
        <v>312.5</v>
      </c>
      <c r="Q123" s="51">
        <f t="shared" si="80"/>
        <v>312.5</v>
      </c>
      <c r="R123" s="51">
        <f t="shared" si="80"/>
        <v>312.5</v>
      </c>
      <c r="S123" s="51">
        <f t="shared" si="80"/>
        <v>312.5</v>
      </c>
      <c r="T123" s="51">
        <f t="shared" si="80"/>
        <v>312.5</v>
      </c>
      <c r="U123" s="51">
        <f t="shared" si="80"/>
        <v>312.5</v>
      </c>
      <c r="V123" s="368">
        <f t="shared" si="80"/>
        <v>312.5</v>
      </c>
      <c r="W123" s="332"/>
    </row>
    <row r="124" spans="2:23" s="25" customFormat="1" ht="12.75">
      <c r="B124" s="128"/>
      <c r="C124" s="47" t="str">
        <f t="shared" si="53"/>
        <v>Technicians</v>
      </c>
      <c r="D124" s="48" t="s">
        <v>168</v>
      </c>
      <c r="E124" s="48" t="str">
        <f t="shared" si="76"/>
        <v>TechniciansFT</v>
      </c>
      <c r="F124" s="51">
        <f t="shared" si="32"/>
        <v>1</v>
      </c>
      <c r="G124" s="49">
        <v>1</v>
      </c>
      <c r="H124" s="753">
        <f t="shared" si="55"/>
        <v>8750.0000000000018</v>
      </c>
      <c r="I124" s="754">
        <f>VLOOKUP(E124,$E$35:$I$56,3,FALSE)</f>
        <v>8750</v>
      </c>
      <c r="J124" s="755">
        <f t="shared" si="77"/>
        <v>729.16666666666663</v>
      </c>
      <c r="K124" s="572">
        <f t="shared" ref="K124:V124" si="81">$J124*K227</f>
        <v>729.16666666666663</v>
      </c>
      <c r="L124" s="51">
        <f t="shared" si="81"/>
        <v>729.16666666666663</v>
      </c>
      <c r="M124" s="51">
        <f t="shared" si="81"/>
        <v>729.16666666666663</v>
      </c>
      <c r="N124" s="51">
        <f t="shared" si="81"/>
        <v>729.16666666666663</v>
      </c>
      <c r="O124" s="51">
        <f t="shared" si="81"/>
        <v>729.16666666666663</v>
      </c>
      <c r="P124" s="51">
        <f t="shared" si="81"/>
        <v>729.16666666666663</v>
      </c>
      <c r="Q124" s="51">
        <f t="shared" si="81"/>
        <v>729.16666666666663</v>
      </c>
      <c r="R124" s="51">
        <f t="shared" si="81"/>
        <v>729.16666666666663</v>
      </c>
      <c r="S124" s="51">
        <f t="shared" si="81"/>
        <v>729.16666666666663</v>
      </c>
      <c r="T124" s="51">
        <f t="shared" si="81"/>
        <v>729.16666666666663</v>
      </c>
      <c r="U124" s="51">
        <f t="shared" si="81"/>
        <v>729.16666666666663</v>
      </c>
      <c r="V124" s="368">
        <f t="shared" si="81"/>
        <v>729.16666666666663</v>
      </c>
      <c r="W124" s="332"/>
    </row>
    <row r="125" spans="2:23" s="25" customFormat="1" ht="12.75">
      <c r="B125" s="128"/>
      <c r="C125" s="47" t="str">
        <f t="shared" si="53"/>
        <v>Others</v>
      </c>
      <c r="D125" s="48" t="s">
        <v>168</v>
      </c>
      <c r="E125" s="48" t="str">
        <f t="shared" si="76"/>
        <v>OthersFT</v>
      </c>
      <c r="F125" s="51">
        <f t="shared" si="32"/>
        <v>0</v>
      </c>
      <c r="G125" s="49">
        <v>4</v>
      </c>
      <c r="H125" s="753">
        <f t="shared" si="55"/>
        <v>0</v>
      </c>
      <c r="I125" s="754">
        <f>VLOOKUP(E125,$E$35:$I$56,3,FALSE)</f>
        <v>1250</v>
      </c>
      <c r="J125" s="755">
        <f t="shared" si="77"/>
        <v>104.16666666666667</v>
      </c>
      <c r="K125" s="572">
        <f t="shared" ref="K125:V125" si="82">$J125*K228</f>
        <v>0</v>
      </c>
      <c r="L125" s="51">
        <f t="shared" si="82"/>
        <v>0</v>
      </c>
      <c r="M125" s="51">
        <f t="shared" si="82"/>
        <v>0</v>
      </c>
      <c r="N125" s="51">
        <f t="shared" si="82"/>
        <v>0</v>
      </c>
      <c r="O125" s="51">
        <f t="shared" si="82"/>
        <v>0</v>
      </c>
      <c r="P125" s="51">
        <f t="shared" si="82"/>
        <v>0</v>
      </c>
      <c r="Q125" s="51">
        <f t="shared" si="82"/>
        <v>0</v>
      </c>
      <c r="R125" s="51">
        <f t="shared" si="82"/>
        <v>0</v>
      </c>
      <c r="S125" s="51">
        <f t="shared" si="82"/>
        <v>0</v>
      </c>
      <c r="T125" s="51">
        <f t="shared" si="82"/>
        <v>0</v>
      </c>
      <c r="U125" s="51">
        <f t="shared" si="82"/>
        <v>0</v>
      </c>
      <c r="V125" s="368">
        <f t="shared" si="82"/>
        <v>0</v>
      </c>
      <c r="W125" s="332"/>
    </row>
    <row r="126" spans="2:23" s="25" customFormat="1" ht="12.75">
      <c r="B126" s="128"/>
      <c r="C126" s="498" t="str">
        <f t="shared" si="53"/>
        <v>MRI</v>
      </c>
      <c r="D126" s="48"/>
      <c r="E126" s="48"/>
      <c r="F126" s="51"/>
      <c r="G126" s="49"/>
      <c r="H126" s="753"/>
      <c r="I126" s="754"/>
      <c r="J126" s="737"/>
      <c r="K126" s="572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368"/>
      <c r="W126" s="332"/>
    </row>
    <row r="127" spans="2:23" s="25" customFormat="1" ht="12.75">
      <c r="B127" s="128"/>
      <c r="C127" s="47" t="str">
        <f t="shared" si="53"/>
        <v>Doctors</v>
      </c>
      <c r="D127" s="48" t="s">
        <v>168</v>
      </c>
      <c r="E127" s="48" t="str">
        <f t="shared" ref="E127:E131" si="83">CONCATENATE(C127,D127)</f>
        <v>DoctorsFT</v>
      </c>
      <c r="F127" s="51">
        <f t="shared" si="32"/>
        <v>1</v>
      </c>
      <c r="G127" s="49"/>
      <c r="H127" s="753">
        <f t="shared" si="55"/>
        <v>31250.000000000004</v>
      </c>
      <c r="I127" s="754">
        <f>VLOOKUP(E127,$E$35:$I$56,3,FALSE)</f>
        <v>31250</v>
      </c>
      <c r="J127" s="755">
        <f t="shared" ref="J127:J131" si="84">I127/12</f>
        <v>2604.1666666666665</v>
      </c>
      <c r="K127" s="572">
        <f t="shared" ref="K127:V127" si="85">$J127*K230</f>
        <v>2604.1666666666665</v>
      </c>
      <c r="L127" s="51">
        <f t="shared" si="85"/>
        <v>2604.1666666666665</v>
      </c>
      <c r="M127" s="51">
        <f t="shared" si="85"/>
        <v>2604.1666666666665</v>
      </c>
      <c r="N127" s="51">
        <f t="shared" si="85"/>
        <v>2604.1666666666665</v>
      </c>
      <c r="O127" s="51">
        <f t="shared" si="85"/>
        <v>2604.1666666666665</v>
      </c>
      <c r="P127" s="51">
        <f t="shared" si="85"/>
        <v>2604.1666666666665</v>
      </c>
      <c r="Q127" s="51">
        <f t="shared" si="85"/>
        <v>2604.1666666666665</v>
      </c>
      <c r="R127" s="51">
        <f t="shared" si="85"/>
        <v>2604.1666666666665</v>
      </c>
      <c r="S127" s="51">
        <f t="shared" si="85"/>
        <v>2604.1666666666665</v>
      </c>
      <c r="T127" s="51">
        <f t="shared" si="85"/>
        <v>2604.1666666666665</v>
      </c>
      <c r="U127" s="51">
        <f t="shared" si="85"/>
        <v>2604.1666666666665</v>
      </c>
      <c r="V127" s="368">
        <f t="shared" si="85"/>
        <v>2604.1666666666665</v>
      </c>
      <c r="W127" s="332"/>
    </row>
    <row r="128" spans="2:23" s="25" customFormat="1" ht="12.75">
      <c r="B128" s="128"/>
      <c r="C128" s="47" t="str">
        <f t="shared" si="53"/>
        <v>Doctors</v>
      </c>
      <c r="D128" s="48" t="s">
        <v>182</v>
      </c>
      <c r="E128" s="48" t="str">
        <f t="shared" si="83"/>
        <v>DoctorsPT</v>
      </c>
      <c r="F128" s="51">
        <f t="shared" si="32"/>
        <v>0</v>
      </c>
      <c r="G128" s="49"/>
      <c r="H128" s="753">
        <f t="shared" si="55"/>
        <v>0</v>
      </c>
      <c r="I128" s="754">
        <f>VLOOKUP(E128,$E$35:$I$56,3,FALSE)</f>
        <v>15000</v>
      </c>
      <c r="J128" s="755">
        <f t="shared" si="84"/>
        <v>1250</v>
      </c>
      <c r="K128" s="572">
        <f t="shared" ref="K128:V128" si="86">$J128*K231</f>
        <v>0</v>
      </c>
      <c r="L128" s="51">
        <f t="shared" si="86"/>
        <v>0</v>
      </c>
      <c r="M128" s="51">
        <f t="shared" si="86"/>
        <v>0</v>
      </c>
      <c r="N128" s="51">
        <f t="shared" si="86"/>
        <v>0</v>
      </c>
      <c r="O128" s="51">
        <f t="shared" si="86"/>
        <v>0</v>
      </c>
      <c r="P128" s="51">
        <f t="shared" si="86"/>
        <v>0</v>
      </c>
      <c r="Q128" s="51">
        <f t="shared" si="86"/>
        <v>0</v>
      </c>
      <c r="R128" s="51">
        <f t="shared" si="86"/>
        <v>0</v>
      </c>
      <c r="S128" s="51">
        <f t="shared" si="86"/>
        <v>0</v>
      </c>
      <c r="T128" s="51">
        <f t="shared" si="86"/>
        <v>0</v>
      </c>
      <c r="U128" s="51">
        <f t="shared" si="86"/>
        <v>0</v>
      </c>
      <c r="V128" s="368">
        <f t="shared" si="86"/>
        <v>0</v>
      </c>
      <c r="W128" s="332"/>
    </row>
    <row r="129" spans="2:23" s="25" customFormat="1" ht="12.75">
      <c r="B129" s="128"/>
      <c r="C129" s="47" t="str">
        <f t="shared" si="53"/>
        <v>Nurses</v>
      </c>
      <c r="D129" s="48" t="s">
        <v>168</v>
      </c>
      <c r="E129" s="48" t="str">
        <f t="shared" si="83"/>
        <v>NursesFT</v>
      </c>
      <c r="F129" s="51">
        <f t="shared" si="32"/>
        <v>1</v>
      </c>
      <c r="G129" s="49"/>
      <c r="H129" s="753">
        <f t="shared" si="55"/>
        <v>3750</v>
      </c>
      <c r="I129" s="754">
        <f>VLOOKUP(E129,$E$35:$I$56,3,FALSE)</f>
        <v>3750</v>
      </c>
      <c r="J129" s="755">
        <f t="shared" si="84"/>
        <v>312.5</v>
      </c>
      <c r="K129" s="572">
        <f t="shared" ref="K129:V129" si="87">$J129*K232</f>
        <v>312.5</v>
      </c>
      <c r="L129" s="51">
        <f t="shared" si="87"/>
        <v>312.5</v>
      </c>
      <c r="M129" s="51">
        <f t="shared" si="87"/>
        <v>312.5</v>
      </c>
      <c r="N129" s="51">
        <f t="shared" si="87"/>
        <v>312.5</v>
      </c>
      <c r="O129" s="51">
        <f t="shared" si="87"/>
        <v>312.5</v>
      </c>
      <c r="P129" s="51">
        <f t="shared" si="87"/>
        <v>312.5</v>
      </c>
      <c r="Q129" s="51">
        <f t="shared" si="87"/>
        <v>312.5</v>
      </c>
      <c r="R129" s="51">
        <f t="shared" si="87"/>
        <v>312.5</v>
      </c>
      <c r="S129" s="51">
        <f t="shared" si="87"/>
        <v>312.5</v>
      </c>
      <c r="T129" s="51">
        <f t="shared" si="87"/>
        <v>312.5</v>
      </c>
      <c r="U129" s="51">
        <f t="shared" si="87"/>
        <v>312.5</v>
      </c>
      <c r="V129" s="368">
        <f t="shared" si="87"/>
        <v>312.5</v>
      </c>
      <c r="W129" s="332"/>
    </row>
    <row r="130" spans="2:23" s="25" customFormat="1" ht="12.75">
      <c r="B130" s="128"/>
      <c r="C130" s="47" t="str">
        <f t="shared" si="53"/>
        <v>Technicians</v>
      </c>
      <c r="D130" s="48" t="s">
        <v>168</v>
      </c>
      <c r="E130" s="48" t="str">
        <f t="shared" si="83"/>
        <v>TechniciansFT</v>
      </c>
      <c r="F130" s="51">
        <f t="shared" si="32"/>
        <v>1</v>
      </c>
      <c r="G130" s="49"/>
      <c r="H130" s="753">
        <f t="shared" si="55"/>
        <v>8750.0000000000018</v>
      </c>
      <c r="I130" s="754">
        <f>VLOOKUP(E130,$E$35:$I$56,3,FALSE)</f>
        <v>8750</v>
      </c>
      <c r="J130" s="755">
        <f t="shared" si="84"/>
        <v>729.16666666666663</v>
      </c>
      <c r="K130" s="572">
        <f t="shared" ref="K130:V130" si="88">$J130*K233</f>
        <v>729.16666666666663</v>
      </c>
      <c r="L130" s="51">
        <f t="shared" si="88"/>
        <v>729.16666666666663</v>
      </c>
      <c r="M130" s="51">
        <f t="shared" si="88"/>
        <v>729.16666666666663</v>
      </c>
      <c r="N130" s="51">
        <f t="shared" si="88"/>
        <v>729.16666666666663</v>
      </c>
      <c r="O130" s="51">
        <f t="shared" si="88"/>
        <v>729.16666666666663</v>
      </c>
      <c r="P130" s="51">
        <f t="shared" si="88"/>
        <v>729.16666666666663</v>
      </c>
      <c r="Q130" s="51">
        <f t="shared" si="88"/>
        <v>729.16666666666663</v>
      </c>
      <c r="R130" s="51">
        <f t="shared" si="88"/>
        <v>729.16666666666663</v>
      </c>
      <c r="S130" s="51">
        <f t="shared" si="88"/>
        <v>729.16666666666663</v>
      </c>
      <c r="T130" s="51">
        <f t="shared" si="88"/>
        <v>729.16666666666663</v>
      </c>
      <c r="U130" s="51">
        <f t="shared" si="88"/>
        <v>729.16666666666663</v>
      </c>
      <c r="V130" s="368">
        <f t="shared" si="88"/>
        <v>729.16666666666663</v>
      </c>
      <c r="W130" s="332"/>
    </row>
    <row r="131" spans="2:23" s="25" customFormat="1" ht="12.75">
      <c r="B131" s="128"/>
      <c r="C131" s="60" t="str">
        <f t="shared" si="53"/>
        <v>Others</v>
      </c>
      <c r="D131" s="61" t="s">
        <v>168</v>
      </c>
      <c r="E131" s="61" t="str">
        <f t="shared" si="83"/>
        <v>OthersFT</v>
      </c>
      <c r="F131" s="34">
        <f t="shared" si="32"/>
        <v>0</v>
      </c>
      <c r="G131" s="62"/>
      <c r="H131" s="756">
        <f t="shared" si="55"/>
        <v>0</v>
      </c>
      <c r="I131" s="750">
        <f>VLOOKUP(E131,$E$35:$I$56,3,FALSE)</f>
        <v>1250</v>
      </c>
      <c r="J131" s="760">
        <f t="shared" si="84"/>
        <v>104.16666666666667</v>
      </c>
      <c r="K131" s="573">
        <f t="shared" ref="K131:V131" si="89">$J131*K234</f>
        <v>0</v>
      </c>
      <c r="L131" s="34">
        <f t="shared" si="89"/>
        <v>0</v>
      </c>
      <c r="M131" s="34">
        <f t="shared" si="89"/>
        <v>0</v>
      </c>
      <c r="N131" s="34">
        <f t="shared" si="89"/>
        <v>0</v>
      </c>
      <c r="O131" s="34">
        <f t="shared" si="89"/>
        <v>0</v>
      </c>
      <c r="P131" s="34">
        <f t="shared" si="89"/>
        <v>0</v>
      </c>
      <c r="Q131" s="34">
        <f t="shared" si="89"/>
        <v>0</v>
      </c>
      <c r="R131" s="34">
        <f t="shared" si="89"/>
        <v>0</v>
      </c>
      <c r="S131" s="34">
        <f t="shared" si="89"/>
        <v>0</v>
      </c>
      <c r="T131" s="34">
        <f t="shared" si="89"/>
        <v>0</v>
      </c>
      <c r="U131" s="34">
        <f t="shared" si="89"/>
        <v>0</v>
      </c>
      <c r="V131" s="520">
        <f t="shared" si="89"/>
        <v>0</v>
      </c>
      <c r="W131" s="332"/>
    </row>
    <row r="132" spans="2:23" s="25" customFormat="1" ht="12.75" hidden="1">
      <c r="B132" s="128" t="s">
        <v>19</v>
      </c>
      <c r="F132" s="32">
        <f>SUM(F86:F89)</f>
        <v>9</v>
      </c>
      <c r="G132" s="49"/>
      <c r="H132" s="49">
        <f>SUM(H86:H89)</f>
        <v>145000</v>
      </c>
      <c r="I132" s="332"/>
      <c r="J132" s="332"/>
      <c r="K132" s="669"/>
      <c r="L132" s="669">
        <f t="shared" ref="L132:L134" si="90">G132</f>
        <v>0</v>
      </c>
      <c r="M132" s="669">
        <f t="shared" ref="M132:M134" si="91">L132</f>
        <v>0</v>
      </c>
      <c r="N132" s="669"/>
      <c r="O132" s="669"/>
      <c r="P132" s="669"/>
      <c r="Q132" s="669"/>
      <c r="R132" s="669"/>
      <c r="S132" s="669"/>
      <c r="T132" s="669"/>
      <c r="U132" s="669"/>
      <c r="V132" s="669"/>
      <c r="W132" s="332"/>
    </row>
    <row r="133" spans="2:23" s="25" customFormat="1" ht="12.75" hidden="1">
      <c r="B133" s="128" t="s">
        <v>16</v>
      </c>
      <c r="F133" s="32">
        <f>SUM(F92:F99)</f>
        <v>10</v>
      </c>
      <c r="G133" s="49"/>
      <c r="H133" s="49">
        <f>SUM(H92:H99)</f>
        <v>132500</v>
      </c>
      <c r="I133" s="332"/>
      <c r="J133" s="332"/>
      <c r="K133" s="669"/>
      <c r="L133" s="669">
        <f t="shared" si="90"/>
        <v>0</v>
      </c>
      <c r="M133" s="669">
        <f t="shared" si="91"/>
        <v>0</v>
      </c>
      <c r="N133" s="669"/>
      <c r="O133" s="669"/>
      <c r="P133" s="669"/>
      <c r="Q133" s="669"/>
      <c r="R133" s="669"/>
      <c r="S133" s="669"/>
      <c r="T133" s="669"/>
      <c r="U133" s="669"/>
      <c r="V133" s="669"/>
      <c r="W133" s="332"/>
    </row>
    <row r="134" spans="2:23" s="25" customFormat="1" ht="12.75" hidden="1">
      <c r="B134" s="128" t="s">
        <v>187</v>
      </c>
      <c r="F134" s="32">
        <f>SUM(F103:F131)</f>
        <v>24</v>
      </c>
      <c r="G134" s="49"/>
      <c r="H134" s="49">
        <f>SUM(H103:H131)</f>
        <v>270937.5</v>
      </c>
      <c r="I134" s="332"/>
      <c r="J134" s="332"/>
      <c r="K134" s="669"/>
      <c r="L134" s="669">
        <f t="shared" si="90"/>
        <v>0</v>
      </c>
      <c r="M134" s="669">
        <f t="shared" si="91"/>
        <v>0</v>
      </c>
      <c r="N134" s="669"/>
      <c r="O134" s="669"/>
      <c r="P134" s="669"/>
      <c r="Q134" s="669"/>
      <c r="R134" s="669"/>
      <c r="S134" s="669"/>
      <c r="T134" s="669"/>
      <c r="U134" s="669"/>
      <c r="V134" s="669"/>
      <c r="W134" s="332"/>
    </row>
    <row r="135" spans="2:23" s="25" customFormat="1" ht="8.25" customHeight="1">
      <c r="B135" s="128"/>
      <c r="F135" s="32"/>
      <c r="G135" s="49"/>
      <c r="H135" s="49"/>
      <c r="I135" s="332"/>
      <c r="J135" s="332"/>
      <c r="K135" s="669"/>
      <c r="L135" s="669"/>
      <c r="M135" s="669"/>
      <c r="N135" s="669"/>
      <c r="O135" s="669"/>
      <c r="P135" s="669"/>
      <c r="Q135" s="669"/>
      <c r="R135" s="669"/>
      <c r="S135" s="669"/>
      <c r="T135" s="669"/>
      <c r="U135" s="669"/>
      <c r="V135" s="669"/>
      <c r="W135" s="332"/>
    </row>
    <row r="136" spans="2:23" s="25" customFormat="1" ht="12.75">
      <c r="B136" s="128"/>
      <c r="C136" s="534" t="str">
        <f t="shared" ref="C136:C155" si="92">C239</f>
        <v>Supporting Units</v>
      </c>
      <c r="D136" s="455"/>
      <c r="E136" s="455"/>
      <c r="F136" s="364"/>
      <c r="G136" s="186"/>
      <c r="H136" s="199"/>
      <c r="I136" s="761"/>
      <c r="J136" s="752"/>
      <c r="K136" s="673"/>
      <c r="L136" s="674"/>
      <c r="M136" s="674"/>
      <c r="N136" s="674"/>
      <c r="O136" s="674"/>
      <c r="P136" s="674"/>
      <c r="Q136" s="674"/>
      <c r="R136" s="674"/>
      <c r="S136" s="674"/>
      <c r="T136" s="674"/>
      <c r="U136" s="674"/>
      <c r="V136" s="675"/>
      <c r="W136" s="332"/>
    </row>
    <row r="137" spans="2:23" s="25" customFormat="1" ht="12.75">
      <c r="B137" s="128"/>
      <c r="C137" s="498" t="str">
        <f t="shared" si="92"/>
        <v>Marketing</v>
      </c>
      <c r="D137" s="48"/>
      <c r="E137" s="48"/>
      <c r="F137" s="51"/>
      <c r="G137" s="49"/>
      <c r="H137" s="200"/>
      <c r="I137" s="754"/>
      <c r="J137" s="737"/>
      <c r="K137" s="657"/>
      <c r="L137" s="680"/>
      <c r="M137" s="680"/>
      <c r="N137" s="680"/>
      <c r="O137" s="680"/>
      <c r="P137" s="680"/>
      <c r="Q137" s="680"/>
      <c r="R137" s="680"/>
      <c r="S137" s="680"/>
      <c r="T137" s="680"/>
      <c r="U137" s="680"/>
      <c r="V137" s="681"/>
      <c r="W137" s="332"/>
    </row>
    <row r="138" spans="2:23" s="25" customFormat="1" ht="12.75">
      <c r="B138" s="128"/>
      <c r="C138" s="762" t="str">
        <f t="shared" si="92"/>
        <v>Marketing Manager</v>
      </c>
      <c r="D138" s="48" t="s">
        <v>168</v>
      </c>
      <c r="E138" s="48" t="s">
        <v>232</v>
      </c>
      <c r="F138" s="51">
        <f t="shared" ref="F138:F155" si="93">F241</f>
        <v>1</v>
      </c>
      <c r="G138" s="49"/>
      <c r="H138" s="753">
        <f t="shared" ref="H138:H155" si="94">SUM(K138:V138)</f>
        <v>18750</v>
      </c>
      <c r="I138" s="754">
        <f>VLOOKUP(E138,$E$35:$I$56,3,FALSE)</f>
        <v>18750</v>
      </c>
      <c r="J138" s="755">
        <f t="shared" ref="J138:J140" si="95">I138/12</f>
        <v>1562.5</v>
      </c>
      <c r="K138" s="572">
        <f t="shared" ref="K138:V138" si="96">$J138*K241</f>
        <v>1562.5</v>
      </c>
      <c r="L138" s="51">
        <f t="shared" si="96"/>
        <v>1562.5</v>
      </c>
      <c r="M138" s="51">
        <f t="shared" si="96"/>
        <v>1562.5</v>
      </c>
      <c r="N138" s="51">
        <f t="shared" si="96"/>
        <v>1562.5</v>
      </c>
      <c r="O138" s="51">
        <f t="shared" si="96"/>
        <v>1562.5</v>
      </c>
      <c r="P138" s="51">
        <f t="shared" si="96"/>
        <v>1562.5</v>
      </c>
      <c r="Q138" s="51">
        <f t="shared" si="96"/>
        <v>1562.5</v>
      </c>
      <c r="R138" s="51">
        <f t="shared" si="96"/>
        <v>1562.5</v>
      </c>
      <c r="S138" s="51">
        <f t="shared" si="96"/>
        <v>1562.5</v>
      </c>
      <c r="T138" s="51">
        <f t="shared" si="96"/>
        <v>1562.5</v>
      </c>
      <c r="U138" s="51">
        <f t="shared" si="96"/>
        <v>1562.5</v>
      </c>
      <c r="V138" s="368">
        <f t="shared" si="96"/>
        <v>1562.5</v>
      </c>
      <c r="W138" s="332"/>
    </row>
    <row r="139" spans="2:23" s="25" customFormat="1" ht="12.75">
      <c r="B139" s="128"/>
      <c r="C139" s="762" t="str">
        <f t="shared" si="92"/>
        <v>Associate</v>
      </c>
      <c r="D139" s="48" t="s">
        <v>168</v>
      </c>
      <c r="E139" s="48" t="str">
        <f t="shared" ref="E139:E140" si="97">CONCATENATE(C139,D139)</f>
        <v>AssociateFT</v>
      </c>
      <c r="F139" s="51">
        <f t="shared" si="93"/>
        <v>3</v>
      </c>
      <c r="G139" s="49"/>
      <c r="H139" s="753">
        <f t="shared" si="94"/>
        <v>7500</v>
      </c>
      <c r="I139" s="754">
        <f>VLOOKUP(E139,$E$35:$I$56,3,FALSE)</f>
        <v>3750</v>
      </c>
      <c r="J139" s="755">
        <f t="shared" si="95"/>
        <v>312.5</v>
      </c>
      <c r="K139" s="572">
        <f t="shared" ref="K139:V139" si="98">$J139*K242</f>
        <v>312.5</v>
      </c>
      <c r="L139" s="51">
        <f t="shared" si="98"/>
        <v>312.5</v>
      </c>
      <c r="M139" s="51">
        <f t="shared" si="98"/>
        <v>312.5</v>
      </c>
      <c r="N139" s="51">
        <f t="shared" si="98"/>
        <v>312.5</v>
      </c>
      <c r="O139" s="51">
        <f t="shared" si="98"/>
        <v>625</v>
      </c>
      <c r="P139" s="51">
        <f t="shared" si="98"/>
        <v>625</v>
      </c>
      <c r="Q139" s="51">
        <f t="shared" si="98"/>
        <v>625</v>
      </c>
      <c r="R139" s="51">
        <f t="shared" si="98"/>
        <v>625</v>
      </c>
      <c r="S139" s="51">
        <f t="shared" si="98"/>
        <v>937.5</v>
      </c>
      <c r="T139" s="51">
        <f t="shared" si="98"/>
        <v>937.5</v>
      </c>
      <c r="U139" s="51">
        <f t="shared" si="98"/>
        <v>937.5</v>
      </c>
      <c r="V139" s="368">
        <f t="shared" si="98"/>
        <v>937.5</v>
      </c>
      <c r="W139" s="332"/>
    </row>
    <row r="140" spans="2:23" s="25" customFormat="1" ht="12.75">
      <c r="B140" s="128"/>
      <c r="C140" s="762" t="str">
        <f t="shared" si="92"/>
        <v>Associate</v>
      </c>
      <c r="D140" s="48" t="s">
        <v>182</v>
      </c>
      <c r="E140" s="48" t="str">
        <f t="shared" si="97"/>
        <v>AssociatePT</v>
      </c>
      <c r="F140" s="51">
        <f t="shared" si="93"/>
        <v>6</v>
      </c>
      <c r="G140" s="49"/>
      <c r="H140" s="753">
        <f t="shared" si="94"/>
        <v>5250</v>
      </c>
      <c r="I140" s="754">
        <f>VLOOKUP(E140,$E$35:$I$56,3,FALSE)</f>
        <v>1500</v>
      </c>
      <c r="J140" s="755">
        <f t="shared" si="95"/>
        <v>125</v>
      </c>
      <c r="K140" s="572">
        <f t="shared" ref="K140:V140" si="99">$J140*K243</f>
        <v>0</v>
      </c>
      <c r="L140" s="51">
        <f t="shared" si="99"/>
        <v>0</v>
      </c>
      <c r="M140" s="51">
        <f t="shared" si="99"/>
        <v>0</v>
      </c>
      <c r="N140" s="51">
        <f t="shared" si="99"/>
        <v>375</v>
      </c>
      <c r="O140" s="51">
        <f t="shared" si="99"/>
        <v>375</v>
      </c>
      <c r="P140" s="51">
        <f t="shared" si="99"/>
        <v>375</v>
      </c>
      <c r="Q140" s="51">
        <f t="shared" si="99"/>
        <v>375</v>
      </c>
      <c r="R140" s="51">
        <f t="shared" si="99"/>
        <v>750</v>
      </c>
      <c r="S140" s="51">
        <f t="shared" si="99"/>
        <v>750</v>
      </c>
      <c r="T140" s="51">
        <f t="shared" si="99"/>
        <v>750</v>
      </c>
      <c r="U140" s="51">
        <f t="shared" si="99"/>
        <v>750</v>
      </c>
      <c r="V140" s="368">
        <f t="shared" si="99"/>
        <v>750</v>
      </c>
      <c r="W140" s="332"/>
    </row>
    <row r="141" spans="2:23" s="25" customFormat="1" ht="12.75">
      <c r="B141" s="128"/>
      <c r="C141" s="498" t="str">
        <f t="shared" si="92"/>
        <v>Delivery</v>
      </c>
      <c r="D141" s="48"/>
      <c r="E141" s="48"/>
      <c r="F141" s="51"/>
      <c r="G141" s="49"/>
      <c r="H141" s="753"/>
      <c r="I141" s="754"/>
      <c r="J141" s="755"/>
      <c r="K141" s="572">
        <f t="shared" ref="K141:V141" si="100">$J141*K244</f>
        <v>0</v>
      </c>
      <c r="L141" s="51">
        <f t="shared" si="100"/>
        <v>0</v>
      </c>
      <c r="M141" s="51">
        <f t="shared" si="100"/>
        <v>0</v>
      </c>
      <c r="N141" s="51">
        <f t="shared" si="100"/>
        <v>0</v>
      </c>
      <c r="O141" s="51">
        <f t="shared" si="100"/>
        <v>0</v>
      </c>
      <c r="P141" s="51">
        <f t="shared" si="100"/>
        <v>0</v>
      </c>
      <c r="Q141" s="51">
        <f t="shared" si="100"/>
        <v>0</v>
      </c>
      <c r="R141" s="51">
        <f t="shared" si="100"/>
        <v>0</v>
      </c>
      <c r="S141" s="51">
        <f t="shared" si="100"/>
        <v>0</v>
      </c>
      <c r="T141" s="51">
        <f t="shared" si="100"/>
        <v>0</v>
      </c>
      <c r="U141" s="51">
        <f t="shared" si="100"/>
        <v>0</v>
      </c>
      <c r="V141" s="368">
        <f t="shared" si="100"/>
        <v>0</v>
      </c>
      <c r="W141" s="332"/>
    </row>
    <row r="142" spans="2:23" s="25" customFormat="1" ht="12.75">
      <c r="B142" s="128"/>
      <c r="C142" s="762" t="str">
        <f t="shared" si="92"/>
        <v>Delivery Manager</v>
      </c>
      <c r="D142" s="48" t="s">
        <v>168</v>
      </c>
      <c r="E142" s="48" t="s">
        <v>232</v>
      </c>
      <c r="F142" s="51">
        <f t="shared" si="93"/>
        <v>1</v>
      </c>
      <c r="G142" s="49"/>
      <c r="H142" s="753">
        <f t="shared" si="94"/>
        <v>18750</v>
      </c>
      <c r="I142" s="754">
        <f>VLOOKUP(E142,$E$35:$I$56,3,FALSE)</f>
        <v>18750</v>
      </c>
      <c r="J142" s="755">
        <f t="shared" ref="J142:J144" si="101">I142/12</f>
        <v>1562.5</v>
      </c>
      <c r="K142" s="572">
        <f t="shared" ref="K142:V142" si="102">$J142*K245</f>
        <v>1562.5</v>
      </c>
      <c r="L142" s="51">
        <f t="shared" si="102"/>
        <v>1562.5</v>
      </c>
      <c r="M142" s="51">
        <f t="shared" si="102"/>
        <v>1562.5</v>
      </c>
      <c r="N142" s="51">
        <f t="shared" si="102"/>
        <v>1562.5</v>
      </c>
      <c r="O142" s="51">
        <f t="shared" si="102"/>
        <v>1562.5</v>
      </c>
      <c r="P142" s="51">
        <f t="shared" si="102"/>
        <v>1562.5</v>
      </c>
      <c r="Q142" s="51">
        <f t="shared" si="102"/>
        <v>1562.5</v>
      </c>
      <c r="R142" s="51">
        <f t="shared" si="102"/>
        <v>1562.5</v>
      </c>
      <c r="S142" s="51">
        <f t="shared" si="102"/>
        <v>1562.5</v>
      </c>
      <c r="T142" s="51">
        <f t="shared" si="102"/>
        <v>1562.5</v>
      </c>
      <c r="U142" s="51">
        <f t="shared" si="102"/>
        <v>1562.5</v>
      </c>
      <c r="V142" s="368">
        <f t="shared" si="102"/>
        <v>1562.5</v>
      </c>
      <c r="W142" s="332"/>
    </row>
    <row r="143" spans="2:23" s="25" customFormat="1" ht="12.75">
      <c r="B143" s="128"/>
      <c r="C143" s="762" t="str">
        <f t="shared" si="92"/>
        <v>Associate</v>
      </c>
      <c r="D143" s="48" t="s">
        <v>168</v>
      </c>
      <c r="E143" s="48" t="str">
        <f t="shared" ref="E143:E144" si="103">CONCATENATE(C143,D143)</f>
        <v>AssociateFT</v>
      </c>
      <c r="F143" s="51">
        <f t="shared" si="93"/>
        <v>2</v>
      </c>
      <c r="G143" s="49"/>
      <c r="H143" s="753">
        <f t="shared" si="94"/>
        <v>5625</v>
      </c>
      <c r="I143" s="754">
        <f>VLOOKUP(E143,$E$35:$I$56,3,FALSE)</f>
        <v>3750</v>
      </c>
      <c r="J143" s="755">
        <f t="shared" si="101"/>
        <v>312.5</v>
      </c>
      <c r="K143" s="572">
        <f t="shared" ref="K143:V143" si="104">$J143*K246</f>
        <v>312.5</v>
      </c>
      <c r="L143" s="51">
        <f t="shared" si="104"/>
        <v>312.5</v>
      </c>
      <c r="M143" s="51">
        <f t="shared" si="104"/>
        <v>312.5</v>
      </c>
      <c r="N143" s="51">
        <f t="shared" si="104"/>
        <v>312.5</v>
      </c>
      <c r="O143" s="51">
        <f t="shared" si="104"/>
        <v>312.5</v>
      </c>
      <c r="P143" s="51">
        <f t="shared" si="104"/>
        <v>312.5</v>
      </c>
      <c r="Q143" s="51">
        <f t="shared" si="104"/>
        <v>625</v>
      </c>
      <c r="R143" s="51">
        <f t="shared" si="104"/>
        <v>625</v>
      </c>
      <c r="S143" s="51">
        <f t="shared" si="104"/>
        <v>625</v>
      </c>
      <c r="T143" s="51">
        <f t="shared" si="104"/>
        <v>625</v>
      </c>
      <c r="U143" s="51">
        <f t="shared" si="104"/>
        <v>625</v>
      </c>
      <c r="V143" s="368">
        <f t="shared" si="104"/>
        <v>625</v>
      </c>
      <c r="W143" s="332"/>
    </row>
    <row r="144" spans="2:23" s="25" customFormat="1" ht="12.75">
      <c r="B144" s="128"/>
      <c r="C144" s="762" t="str">
        <f t="shared" si="92"/>
        <v>Associate</v>
      </c>
      <c r="D144" s="48" t="s">
        <v>182</v>
      </c>
      <c r="E144" s="48" t="str">
        <f t="shared" si="103"/>
        <v>AssociatePT</v>
      </c>
      <c r="F144" s="51">
        <f t="shared" si="93"/>
        <v>2</v>
      </c>
      <c r="G144" s="49"/>
      <c r="H144" s="753">
        <f t="shared" si="94"/>
        <v>1500</v>
      </c>
      <c r="I144" s="754">
        <f>VLOOKUP(E144,$E$35:$I$56,3,FALSE)</f>
        <v>1500</v>
      </c>
      <c r="J144" s="755">
        <f t="shared" si="101"/>
        <v>125</v>
      </c>
      <c r="K144" s="572">
        <f t="shared" ref="K144:V144" si="105">$J144*K247</f>
        <v>0</v>
      </c>
      <c r="L144" s="51">
        <f t="shared" si="105"/>
        <v>0</v>
      </c>
      <c r="M144" s="51">
        <f t="shared" si="105"/>
        <v>0</v>
      </c>
      <c r="N144" s="51">
        <f t="shared" si="105"/>
        <v>0</v>
      </c>
      <c r="O144" s="51">
        <f t="shared" si="105"/>
        <v>125</v>
      </c>
      <c r="P144" s="51">
        <f t="shared" si="105"/>
        <v>125</v>
      </c>
      <c r="Q144" s="51">
        <f t="shared" si="105"/>
        <v>125</v>
      </c>
      <c r="R144" s="51">
        <f t="shared" si="105"/>
        <v>125</v>
      </c>
      <c r="S144" s="51">
        <f t="shared" si="105"/>
        <v>250</v>
      </c>
      <c r="T144" s="51">
        <f t="shared" si="105"/>
        <v>250</v>
      </c>
      <c r="U144" s="51">
        <f t="shared" si="105"/>
        <v>250</v>
      </c>
      <c r="V144" s="368">
        <f t="shared" si="105"/>
        <v>250</v>
      </c>
      <c r="W144" s="332"/>
    </row>
    <row r="145" spans="2:23" s="25" customFormat="1" ht="12.75">
      <c r="B145" s="128"/>
      <c r="C145" s="498" t="str">
        <f t="shared" si="92"/>
        <v>IT</v>
      </c>
      <c r="D145" s="48"/>
      <c r="E145" s="48"/>
      <c r="F145" s="51"/>
      <c r="G145" s="49"/>
      <c r="H145" s="753"/>
      <c r="I145" s="754"/>
      <c r="J145" s="755"/>
      <c r="K145" s="572">
        <f t="shared" ref="K145:V145" si="106">$J145*K248</f>
        <v>0</v>
      </c>
      <c r="L145" s="51">
        <f t="shared" si="106"/>
        <v>0</v>
      </c>
      <c r="M145" s="51">
        <f t="shared" si="106"/>
        <v>0</v>
      </c>
      <c r="N145" s="51">
        <f t="shared" si="106"/>
        <v>0</v>
      </c>
      <c r="O145" s="51">
        <f t="shared" si="106"/>
        <v>0</v>
      </c>
      <c r="P145" s="51">
        <f t="shared" si="106"/>
        <v>0</v>
      </c>
      <c r="Q145" s="51">
        <f t="shared" si="106"/>
        <v>0</v>
      </c>
      <c r="R145" s="51">
        <f t="shared" si="106"/>
        <v>0</v>
      </c>
      <c r="S145" s="51">
        <f t="shared" si="106"/>
        <v>0</v>
      </c>
      <c r="T145" s="51">
        <f t="shared" si="106"/>
        <v>0</v>
      </c>
      <c r="U145" s="51">
        <f t="shared" si="106"/>
        <v>0</v>
      </c>
      <c r="V145" s="368">
        <f t="shared" si="106"/>
        <v>0</v>
      </c>
      <c r="W145" s="332"/>
    </row>
    <row r="146" spans="2:23" s="25" customFormat="1" ht="12.75">
      <c r="B146" s="128"/>
      <c r="C146" s="762" t="str">
        <f t="shared" si="92"/>
        <v>IT Manager</v>
      </c>
      <c r="D146" s="48" t="s">
        <v>168</v>
      </c>
      <c r="E146" s="48" t="s">
        <v>232</v>
      </c>
      <c r="F146" s="51">
        <f t="shared" si="93"/>
        <v>1</v>
      </c>
      <c r="G146" s="49"/>
      <c r="H146" s="753">
        <f t="shared" si="94"/>
        <v>18750</v>
      </c>
      <c r="I146" s="754">
        <f>VLOOKUP(E146,$E$35:$I$56,3,FALSE)</f>
        <v>18750</v>
      </c>
      <c r="J146" s="755">
        <f t="shared" ref="J146:J148" si="107">I146/12</f>
        <v>1562.5</v>
      </c>
      <c r="K146" s="572">
        <f t="shared" ref="K146:V146" si="108">$J146*K249</f>
        <v>1562.5</v>
      </c>
      <c r="L146" s="51">
        <f t="shared" si="108"/>
        <v>1562.5</v>
      </c>
      <c r="M146" s="51">
        <f t="shared" si="108"/>
        <v>1562.5</v>
      </c>
      <c r="N146" s="51">
        <f t="shared" si="108"/>
        <v>1562.5</v>
      </c>
      <c r="O146" s="51">
        <f t="shared" si="108"/>
        <v>1562.5</v>
      </c>
      <c r="P146" s="51">
        <f t="shared" si="108"/>
        <v>1562.5</v>
      </c>
      <c r="Q146" s="51">
        <f t="shared" si="108"/>
        <v>1562.5</v>
      </c>
      <c r="R146" s="51">
        <f t="shared" si="108"/>
        <v>1562.5</v>
      </c>
      <c r="S146" s="51">
        <f t="shared" si="108"/>
        <v>1562.5</v>
      </c>
      <c r="T146" s="51">
        <f t="shared" si="108"/>
        <v>1562.5</v>
      </c>
      <c r="U146" s="51">
        <f t="shared" si="108"/>
        <v>1562.5</v>
      </c>
      <c r="V146" s="368">
        <f t="shared" si="108"/>
        <v>1562.5</v>
      </c>
      <c r="W146" s="332"/>
    </row>
    <row r="147" spans="2:23" s="25" customFormat="1" ht="12.75">
      <c r="B147" s="128"/>
      <c r="C147" s="762" t="str">
        <f t="shared" si="92"/>
        <v>Associate</v>
      </c>
      <c r="D147" s="48" t="s">
        <v>168</v>
      </c>
      <c r="E147" s="48" t="str">
        <f t="shared" ref="E147:E148" si="109">CONCATENATE(C147,D147)</f>
        <v>AssociateFT</v>
      </c>
      <c r="F147" s="51">
        <f t="shared" si="93"/>
        <v>1</v>
      </c>
      <c r="G147" s="49"/>
      <c r="H147" s="753">
        <f t="shared" si="94"/>
        <v>2187.5</v>
      </c>
      <c r="I147" s="754">
        <f>VLOOKUP(E147,$E$35:$I$56,3,FALSE)</f>
        <v>3750</v>
      </c>
      <c r="J147" s="755">
        <f t="shared" si="107"/>
        <v>312.5</v>
      </c>
      <c r="K147" s="572">
        <f t="shared" ref="K147:V147" si="110">$J147*K250</f>
        <v>0</v>
      </c>
      <c r="L147" s="51">
        <f t="shared" si="110"/>
        <v>0</v>
      </c>
      <c r="M147" s="51">
        <f t="shared" si="110"/>
        <v>0</v>
      </c>
      <c r="N147" s="51">
        <f t="shared" si="110"/>
        <v>0</v>
      </c>
      <c r="O147" s="51">
        <f t="shared" si="110"/>
        <v>0</v>
      </c>
      <c r="P147" s="51">
        <f t="shared" si="110"/>
        <v>312.5</v>
      </c>
      <c r="Q147" s="51">
        <f t="shared" si="110"/>
        <v>312.5</v>
      </c>
      <c r="R147" s="51">
        <f t="shared" si="110"/>
        <v>312.5</v>
      </c>
      <c r="S147" s="51">
        <f t="shared" si="110"/>
        <v>312.5</v>
      </c>
      <c r="T147" s="51">
        <f t="shared" si="110"/>
        <v>312.5</v>
      </c>
      <c r="U147" s="51">
        <f t="shared" si="110"/>
        <v>312.5</v>
      </c>
      <c r="V147" s="368">
        <f t="shared" si="110"/>
        <v>312.5</v>
      </c>
      <c r="W147" s="332"/>
    </row>
    <row r="148" spans="2:23" s="25" customFormat="1" ht="12.75">
      <c r="B148" s="128"/>
      <c r="C148" s="762" t="str">
        <f t="shared" si="92"/>
        <v>Associate</v>
      </c>
      <c r="D148" s="48" t="s">
        <v>182</v>
      </c>
      <c r="E148" s="48" t="str">
        <f t="shared" si="109"/>
        <v>AssociatePT</v>
      </c>
      <c r="F148" s="51">
        <f t="shared" si="93"/>
        <v>0</v>
      </c>
      <c r="G148" s="49"/>
      <c r="H148" s="753">
        <f t="shared" si="94"/>
        <v>0</v>
      </c>
      <c r="I148" s="754">
        <f>VLOOKUP(E148,$E$35:$I$56,3,FALSE)</f>
        <v>1500</v>
      </c>
      <c r="J148" s="755">
        <f t="shared" si="107"/>
        <v>125</v>
      </c>
      <c r="K148" s="572">
        <f t="shared" ref="K148:V148" si="111">$J148*K251</f>
        <v>0</v>
      </c>
      <c r="L148" s="51">
        <f t="shared" si="111"/>
        <v>0</v>
      </c>
      <c r="M148" s="51">
        <f t="shared" si="111"/>
        <v>0</v>
      </c>
      <c r="N148" s="51">
        <f t="shared" si="111"/>
        <v>0</v>
      </c>
      <c r="O148" s="51">
        <f t="shared" si="111"/>
        <v>0</v>
      </c>
      <c r="P148" s="51">
        <f t="shared" si="111"/>
        <v>0</v>
      </c>
      <c r="Q148" s="51">
        <f t="shared" si="111"/>
        <v>0</v>
      </c>
      <c r="R148" s="51">
        <f t="shared" si="111"/>
        <v>0</v>
      </c>
      <c r="S148" s="51">
        <f t="shared" si="111"/>
        <v>0</v>
      </c>
      <c r="T148" s="51">
        <f t="shared" si="111"/>
        <v>0</v>
      </c>
      <c r="U148" s="51">
        <f t="shared" si="111"/>
        <v>0</v>
      </c>
      <c r="V148" s="368">
        <f t="shared" si="111"/>
        <v>0</v>
      </c>
      <c r="W148" s="332"/>
    </row>
    <row r="149" spans="2:23" s="25" customFormat="1" ht="12.75">
      <c r="B149" s="128"/>
      <c r="C149" s="498" t="str">
        <f t="shared" si="92"/>
        <v>Others</v>
      </c>
      <c r="D149" s="48"/>
      <c r="E149" s="48"/>
      <c r="F149" s="51"/>
      <c r="G149" s="49"/>
      <c r="H149" s="753"/>
      <c r="I149" s="754"/>
      <c r="J149" s="755"/>
      <c r="K149" s="572">
        <f t="shared" ref="K149:V149" si="112">$J149*K252</f>
        <v>0</v>
      </c>
      <c r="L149" s="51">
        <f t="shared" si="112"/>
        <v>0</v>
      </c>
      <c r="M149" s="51">
        <f t="shared" si="112"/>
        <v>0</v>
      </c>
      <c r="N149" s="51">
        <f t="shared" si="112"/>
        <v>0</v>
      </c>
      <c r="O149" s="51">
        <f t="shared" si="112"/>
        <v>0</v>
      </c>
      <c r="P149" s="51">
        <f t="shared" si="112"/>
        <v>0</v>
      </c>
      <c r="Q149" s="51">
        <f t="shared" si="112"/>
        <v>0</v>
      </c>
      <c r="R149" s="51">
        <f t="shared" si="112"/>
        <v>0</v>
      </c>
      <c r="S149" s="51">
        <f t="shared" si="112"/>
        <v>0</v>
      </c>
      <c r="T149" s="51">
        <f t="shared" si="112"/>
        <v>0</v>
      </c>
      <c r="U149" s="51">
        <f t="shared" si="112"/>
        <v>0</v>
      </c>
      <c r="V149" s="368">
        <f t="shared" si="112"/>
        <v>0</v>
      </c>
      <c r="W149" s="332"/>
    </row>
    <row r="150" spans="2:23" s="25" customFormat="1" ht="12.75">
      <c r="B150" s="128"/>
      <c r="C150" s="762" t="str">
        <f t="shared" si="92"/>
        <v>Reception</v>
      </c>
      <c r="D150" s="48" t="s">
        <v>168</v>
      </c>
      <c r="E150" s="48" t="str">
        <f t="shared" ref="E150:E155" si="113">CONCATENATE($C$252,D150)</f>
        <v>OthersFT</v>
      </c>
      <c r="F150" s="51">
        <f t="shared" si="93"/>
        <v>4</v>
      </c>
      <c r="G150" s="49"/>
      <c r="H150" s="753">
        <f t="shared" si="94"/>
        <v>3749.9999999999995</v>
      </c>
      <c r="I150" s="754">
        <f t="shared" ref="I150:I155" si="114">VLOOKUP(E150,$E$35:$I$56,3,FALSE)</f>
        <v>1250</v>
      </c>
      <c r="J150" s="755">
        <f t="shared" ref="J150:J155" si="115">I150/12</f>
        <v>104.16666666666667</v>
      </c>
      <c r="K150" s="572">
        <f t="shared" ref="K150:V150" si="116">$J150*K253</f>
        <v>208.33333333333334</v>
      </c>
      <c r="L150" s="51">
        <f t="shared" si="116"/>
        <v>208.33333333333334</v>
      </c>
      <c r="M150" s="51">
        <f t="shared" si="116"/>
        <v>208.33333333333334</v>
      </c>
      <c r="N150" s="51">
        <f t="shared" si="116"/>
        <v>208.33333333333334</v>
      </c>
      <c r="O150" s="51">
        <f t="shared" si="116"/>
        <v>208.33333333333334</v>
      </c>
      <c r="P150" s="51">
        <f t="shared" si="116"/>
        <v>208.33333333333334</v>
      </c>
      <c r="Q150" s="51">
        <f t="shared" si="116"/>
        <v>416.66666666666669</v>
      </c>
      <c r="R150" s="51">
        <f t="shared" si="116"/>
        <v>416.66666666666669</v>
      </c>
      <c r="S150" s="51">
        <f t="shared" si="116"/>
        <v>416.66666666666669</v>
      </c>
      <c r="T150" s="51">
        <f t="shared" si="116"/>
        <v>416.66666666666669</v>
      </c>
      <c r="U150" s="51">
        <f t="shared" si="116"/>
        <v>416.66666666666669</v>
      </c>
      <c r="V150" s="368">
        <f t="shared" si="116"/>
        <v>416.66666666666669</v>
      </c>
      <c r="W150" s="332"/>
    </row>
    <row r="151" spans="2:23" s="25" customFormat="1" ht="12.75">
      <c r="B151" s="128"/>
      <c r="C151" s="762" t="str">
        <f t="shared" si="92"/>
        <v>Cleaners</v>
      </c>
      <c r="D151" s="48" t="s">
        <v>182</v>
      </c>
      <c r="E151" s="48" t="str">
        <f t="shared" si="113"/>
        <v>OthersPT</v>
      </c>
      <c r="F151" s="51">
        <f t="shared" si="93"/>
        <v>1</v>
      </c>
      <c r="G151" s="49"/>
      <c r="H151" s="753">
        <f t="shared" si="94"/>
        <v>500.00000000000006</v>
      </c>
      <c r="I151" s="754">
        <f t="shared" si="114"/>
        <v>500</v>
      </c>
      <c r="J151" s="755">
        <f t="shared" si="115"/>
        <v>41.666666666666664</v>
      </c>
      <c r="K151" s="572">
        <f t="shared" ref="K151:V151" si="117">$J151*K254</f>
        <v>41.666666666666664</v>
      </c>
      <c r="L151" s="51">
        <f t="shared" si="117"/>
        <v>41.666666666666664</v>
      </c>
      <c r="M151" s="51">
        <f t="shared" si="117"/>
        <v>41.666666666666664</v>
      </c>
      <c r="N151" s="51">
        <f t="shared" si="117"/>
        <v>41.666666666666664</v>
      </c>
      <c r="O151" s="51">
        <f t="shared" si="117"/>
        <v>41.666666666666664</v>
      </c>
      <c r="P151" s="51">
        <f t="shared" si="117"/>
        <v>41.666666666666664</v>
      </c>
      <c r="Q151" s="51">
        <f t="shared" si="117"/>
        <v>41.666666666666664</v>
      </c>
      <c r="R151" s="51">
        <f t="shared" si="117"/>
        <v>41.666666666666664</v>
      </c>
      <c r="S151" s="51">
        <f t="shared" si="117"/>
        <v>41.666666666666664</v>
      </c>
      <c r="T151" s="51">
        <f t="shared" si="117"/>
        <v>41.666666666666664</v>
      </c>
      <c r="U151" s="51">
        <f t="shared" si="117"/>
        <v>41.666666666666664</v>
      </c>
      <c r="V151" s="368">
        <f t="shared" si="117"/>
        <v>41.666666666666664</v>
      </c>
      <c r="W151" s="332"/>
    </row>
    <row r="152" spans="2:23" s="25" customFormat="1" ht="12.75">
      <c r="B152" s="128"/>
      <c r="C152" s="762" t="str">
        <f t="shared" si="92"/>
        <v>General Drivers</v>
      </c>
      <c r="D152" s="48" t="s">
        <v>168</v>
      </c>
      <c r="E152" s="48" t="str">
        <f t="shared" si="113"/>
        <v>OthersFT</v>
      </c>
      <c r="F152" s="51">
        <f t="shared" si="93"/>
        <v>1</v>
      </c>
      <c r="G152" s="49"/>
      <c r="H152" s="753">
        <f t="shared" si="94"/>
        <v>1041.6666666666665</v>
      </c>
      <c r="I152" s="754">
        <f t="shared" si="114"/>
        <v>1250</v>
      </c>
      <c r="J152" s="755">
        <f t="shared" si="115"/>
        <v>104.16666666666667</v>
      </c>
      <c r="K152" s="572">
        <f t="shared" ref="K152:V152" si="118">$J152*K255</f>
        <v>0</v>
      </c>
      <c r="L152" s="51">
        <f t="shared" si="118"/>
        <v>0</v>
      </c>
      <c r="M152" s="51">
        <f t="shared" si="118"/>
        <v>104.16666666666667</v>
      </c>
      <c r="N152" s="51">
        <f t="shared" si="118"/>
        <v>104.16666666666667</v>
      </c>
      <c r="O152" s="51">
        <f t="shared" si="118"/>
        <v>104.16666666666667</v>
      </c>
      <c r="P152" s="51">
        <f t="shared" si="118"/>
        <v>104.16666666666667</v>
      </c>
      <c r="Q152" s="51">
        <f t="shared" si="118"/>
        <v>104.16666666666667</v>
      </c>
      <c r="R152" s="51">
        <f t="shared" si="118"/>
        <v>104.16666666666667</v>
      </c>
      <c r="S152" s="51">
        <f t="shared" si="118"/>
        <v>104.16666666666667</v>
      </c>
      <c r="T152" s="51">
        <f t="shared" si="118"/>
        <v>104.16666666666667</v>
      </c>
      <c r="U152" s="51">
        <f t="shared" si="118"/>
        <v>104.16666666666667</v>
      </c>
      <c r="V152" s="368">
        <f t="shared" si="118"/>
        <v>104.16666666666667</v>
      </c>
      <c r="W152" s="332"/>
    </row>
    <row r="153" spans="2:23" s="25" customFormat="1" ht="12.75">
      <c r="B153" s="128"/>
      <c r="C153" s="762" t="str">
        <f t="shared" si="92"/>
        <v>Security</v>
      </c>
      <c r="D153" s="48" t="s">
        <v>182</v>
      </c>
      <c r="E153" s="48" t="str">
        <f t="shared" si="113"/>
        <v>OthersPT</v>
      </c>
      <c r="F153" s="51">
        <f t="shared" si="93"/>
        <v>1</v>
      </c>
      <c r="G153" s="49"/>
      <c r="H153" s="753">
        <f t="shared" si="94"/>
        <v>500.00000000000006</v>
      </c>
      <c r="I153" s="754">
        <f t="shared" si="114"/>
        <v>500</v>
      </c>
      <c r="J153" s="755">
        <f t="shared" si="115"/>
        <v>41.666666666666664</v>
      </c>
      <c r="K153" s="572">
        <f t="shared" ref="K153:V153" si="119">$J153*K256</f>
        <v>41.666666666666664</v>
      </c>
      <c r="L153" s="51">
        <f t="shared" si="119"/>
        <v>41.666666666666664</v>
      </c>
      <c r="M153" s="51">
        <f t="shared" si="119"/>
        <v>41.666666666666664</v>
      </c>
      <c r="N153" s="51">
        <f t="shared" si="119"/>
        <v>41.666666666666664</v>
      </c>
      <c r="O153" s="51">
        <f t="shared" si="119"/>
        <v>41.666666666666664</v>
      </c>
      <c r="P153" s="51">
        <f t="shared" si="119"/>
        <v>41.666666666666664</v>
      </c>
      <c r="Q153" s="51">
        <f t="shared" si="119"/>
        <v>41.666666666666664</v>
      </c>
      <c r="R153" s="51">
        <f t="shared" si="119"/>
        <v>41.666666666666664</v>
      </c>
      <c r="S153" s="51">
        <f t="shared" si="119"/>
        <v>41.666666666666664</v>
      </c>
      <c r="T153" s="51">
        <f t="shared" si="119"/>
        <v>41.666666666666664</v>
      </c>
      <c r="U153" s="51">
        <f t="shared" si="119"/>
        <v>41.666666666666664</v>
      </c>
      <c r="V153" s="368">
        <f t="shared" si="119"/>
        <v>41.666666666666664</v>
      </c>
      <c r="W153" s="332"/>
    </row>
    <row r="154" spans="2:23" s="25" customFormat="1" ht="12.75">
      <c r="B154" s="128"/>
      <c r="C154" s="762" t="str">
        <f t="shared" si="92"/>
        <v>Parking</v>
      </c>
      <c r="D154" s="48" t="s">
        <v>182</v>
      </c>
      <c r="E154" s="48" t="str">
        <f t="shared" si="113"/>
        <v>OthersPT</v>
      </c>
      <c r="F154" s="51">
        <f t="shared" si="93"/>
        <v>2</v>
      </c>
      <c r="G154" s="49"/>
      <c r="H154" s="753">
        <f t="shared" si="94"/>
        <v>750</v>
      </c>
      <c r="I154" s="754">
        <f t="shared" si="114"/>
        <v>500</v>
      </c>
      <c r="J154" s="755">
        <f t="shared" si="115"/>
        <v>41.666666666666664</v>
      </c>
      <c r="K154" s="572">
        <f t="shared" ref="K154:V154" si="120">$J154*K257</f>
        <v>41.666666666666664</v>
      </c>
      <c r="L154" s="51">
        <f t="shared" si="120"/>
        <v>41.666666666666664</v>
      </c>
      <c r="M154" s="51">
        <f t="shared" si="120"/>
        <v>41.666666666666664</v>
      </c>
      <c r="N154" s="51">
        <f t="shared" si="120"/>
        <v>41.666666666666664</v>
      </c>
      <c r="O154" s="51">
        <f t="shared" si="120"/>
        <v>41.666666666666664</v>
      </c>
      <c r="P154" s="51">
        <f t="shared" si="120"/>
        <v>41.666666666666664</v>
      </c>
      <c r="Q154" s="51">
        <f t="shared" si="120"/>
        <v>83.333333333333329</v>
      </c>
      <c r="R154" s="51">
        <f t="shared" si="120"/>
        <v>83.333333333333329</v>
      </c>
      <c r="S154" s="51">
        <f t="shared" si="120"/>
        <v>83.333333333333329</v>
      </c>
      <c r="T154" s="51">
        <f t="shared" si="120"/>
        <v>83.333333333333329</v>
      </c>
      <c r="U154" s="51">
        <f t="shared" si="120"/>
        <v>83.333333333333329</v>
      </c>
      <c r="V154" s="368">
        <f t="shared" si="120"/>
        <v>83.333333333333329</v>
      </c>
      <c r="W154" s="332"/>
    </row>
    <row r="155" spans="2:23" s="25" customFormat="1" ht="12.75">
      <c r="B155" s="128"/>
      <c r="C155" s="763" t="str">
        <f t="shared" si="92"/>
        <v>Laundry</v>
      </c>
      <c r="D155" s="61" t="s">
        <v>182</v>
      </c>
      <c r="E155" s="61" t="str">
        <f t="shared" si="113"/>
        <v>OthersPT</v>
      </c>
      <c r="F155" s="34">
        <f t="shared" si="93"/>
        <v>1</v>
      </c>
      <c r="G155" s="62"/>
      <c r="H155" s="756">
        <f t="shared" si="94"/>
        <v>500.00000000000006</v>
      </c>
      <c r="I155" s="757">
        <f t="shared" si="114"/>
        <v>500</v>
      </c>
      <c r="J155" s="760">
        <f t="shared" si="115"/>
        <v>41.666666666666664</v>
      </c>
      <c r="K155" s="573">
        <f t="shared" ref="K155:V155" si="121">$J155*K258</f>
        <v>41.666666666666664</v>
      </c>
      <c r="L155" s="34">
        <f t="shared" si="121"/>
        <v>41.666666666666664</v>
      </c>
      <c r="M155" s="34">
        <f t="shared" si="121"/>
        <v>41.666666666666664</v>
      </c>
      <c r="N155" s="34">
        <f t="shared" si="121"/>
        <v>41.666666666666664</v>
      </c>
      <c r="O155" s="34">
        <f t="shared" si="121"/>
        <v>41.666666666666664</v>
      </c>
      <c r="P155" s="34">
        <f t="shared" si="121"/>
        <v>41.666666666666664</v>
      </c>
      <c r="Q155" s="34">
        <f t="shared" si="121"/>
        <v>41.666666666666664</v>
      </c>
      <c r="R155" s="34">
        <f t="shared" si="121"/>
        <v>41.666666666666664</v>
      </c>
      <c r="S155" s="34">
        <f t="shared" si="121"/>
        <v>41.666666666666664</v>
      </c>
      <c r="T155" s="34">
        <f t="shared" si="121"/>
        <v>41.666666666666664</v>
      </c>
      <c r="U155" s="34">
        <f t="shared" si="121"/>
        <v>41.666666666666664</v>
      </c>
      <c r="V155" s="520">
        <f t="shared" si="121"/>
        <v>41.666666666666664</v>
      </c>
      <c r="W155" s="332"/>
    </row>
    <row r="156" spans="2:23" s="25" customFormat="1" ht="12.75">
      <c r="B156" s="128"/>
      <c r="C156" s="793"/>
      <c r="D156" s="48"/>
      <c r="E156" s="48"/>
      <c r="F156" s="51"/>
      <c r="G156" s="49"/>
      <c r="H156" s="340"/>
      <c r="I156" s="754"/>
      <c r="J156" s="754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332"/>
    </row>
    <row r="157" spans="2:23" s="25" customFormat="1" ht="12.75">
      <c r="B157" s="128"/>
      <c r="C157" s="793"/>
      <c r="D157" s="48"/>
      <c r="E157" s="48"/>
      <c r="F157" s="51"/>
      <c r="G157" s="49"/>
      <c r="H157" s="340"/>
      <c r="I157" s="754"/>
      <c r="J157" s="754" t="s">
        <v>1618</v>
      </c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332"/>
    </row>
    <row r="158" spans="2:23" s="25" customFormat="1" ht="13.5" thickBot="1">
      <c r="B158" s="128"/>
      <c r="C158" s="314" t="s">
        <v>213</v>
      </c>
      <c r="D158" s="314"/>
      <c r="E158" s="353"/>
      <c r="F158" s="670"/>
      <c r="G158" s="693"/>
      <c r="H158" s="670">
        <f>SUM(J158:V158)</f>
        <v>859604.16666666651</v>
      </c>
      <c r="J158" s="794">
        <f>H63</f>
        <v>29500</v>
      </c>
      <c r="K158" s="671">
        <f>SUM(K68:K155)</f>
        <v>65562.499999999971</v>
      </c>
      <c r="L158" s="671">
        <f t="shared" ref="L158:V158" si="122">SUM(L68:L155)</f>
        <v>65562.499999999971</v>
      </c>
      <c r="M158" s="671">
        <f t="shared" si="122"/>
        <v>66916.666666666657</v>
      </c>
      <c r="N158" s="671">
        <f t="shared" si="122"/>
        <v>67604.166666666657</v>
      </c>
      <c r="O158" s="671">
        <f t="shared" si="122"/>
        <v>68041.666666666657</v>
      </c>
      <c r="P158" s="671">
        <f t="shared" si="122"/>
        <v>68666.666666666657</v>
      </c>
      <c r="Q158" s="671">
        <f t="shared" si="122"/>
        <v>70687.5</v>
      </c>
      <c r="R158" s="671">
        <f t="shared" si="122"/>
        <v>71062.5</v>
      </c>
      <c r="S158" s="671">
        <f t="shared" si="122"/>
        <v>71500</v>
      </c>
      <c r="T158" s="671">
        <f t="shared" si="122"/>
        <v>71500</v>
      </c>
      <c r="U158" s="671">
        <f t="shared" si="122"/>
        <v>71500</v>
      </c>
      <c r="V158" s="671">
        <f t="shared" si="122"/>
        <v>71500</v>
      </c>
      <c r="W158" s="332"/>
    </row>
    <row r="159" spans="2:23" s="25" customFormat="1" ht="13.5" thickTop="1">
      <c r="B159" s="128"/>
      <c r="C159" s="793"/>
      <c r="D159" s="48"/>
      <c r="E159" s="48"/>
      <c r="F159" s="51"/>
      <c r="G159" s="49"/>
      <c r="H159" s="340"/>
      <c r="I159" s="754"/>
      <c r="J159" s="754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332"/>
    </row>
    <row r="160" spans="2:23" s="25" customFormat="1" ht="12.75">
      <c r="B160" s="128"/>
      <c r="F160" s="764"/>
      <c r="G160" s="197"/>
      <c r="H160" s="197"/>
      <c r="I160" s="332"/>
      <c r="J160" s="332"/>
      <c r="W160" s="332"/>
    </row>
    <row r="161" spans="1:43" s="333" customFormat="1" ht="12.75">
      <c r="A161" s="25"/>
      <c r="B161" s="128"/>
      <c r="C161" s="38" t="s">
        <v>257</v>
      </c>
      <c r="D161" s="39"/>
      <c r="E161" s="39"/>
      <c r="F161" s="157"/>
      <c r="G161" s="157"/>
      <c r="H161" s="39"/>
      <c r="I161" s="651"/>
      <c r="J161" s="39" t="s">
        <v>270</v>
      </c>
      <c r="K161" s="39"/>
      <c r="L161" s="39"/>
      <c r="M161" s="39"/>
      <c r="N161" s="39"/>
      <c r="O161" s="41"/>
      <c r="P161" s="336"/>
      <c r="Q161" s="336"/>
      <c r="R161" s="336"/>
      <c r="S161" s="336"/>
      <c r="T161" s="336"/>
      <c r="U161" s="336"/>
      <c r="V161" s="336"/>
      <c r="W161" s="332"/>
      <c r="X161" s="25"/>
      <c r="Y161" s="25"/>
      <c r="Z161" s="25"/>
      <c r="AA161" s="25"/>
      <c r="AB161" s="25"/>
      <c r="AC161" s="25"/>
      <c r="AD161" s="25"/>
      <c r="AE161" s="25"/>
      <c r="AF161" s="25"/>
      <c r="AG161" s="25"/>
      <c r="AH161" s="25"/>
      <c r="AI161" s="25"/>
      <c r="AJ161" s="25"/>
      <c r="AK161" s="25"/>
      <c r="AL161" s="25"/>
      <c r="AM161" s="25"/>
      <c r="AN161" s="25"/>
      <c r="AO161" s="25"/>
      <c r="AP161" s="25"/>
      <c r="AQ161" s="25"/>
    </row>
    <row r="162" spans="1:43" s="333" customFormat="1" ht="12.75">
      <c r="A162" s="25"/>
      <c r="B162" s="128"/>
      <c r="C162" s="42" t="s">
        <v>161</v>
      </c>
      <c r="D162" s="43" t="s">
        <v>162</v>
      </c>
      <c r="E162" s="43"/>
      <c r="F162" s="43" t="s">
        <v>163</v>
      </c>
      <c r="G162" s="43"/>
      <c r="H162" s="43" t="s">
        <v>157</v>
      </c>
      <c r="I162" s="742" t="s">
        <v>258</v>
      </c>
      <c r="J162" s="45">
        <v>41275</v>
      </c>
      <c r="K162" s="45">
        <v>41306</v>
      </c>
      <c r="L162" s="45">
        <v>41334</v>
      </c>
      <c r="M162" s="45">
        <v>41365</v>
      </c>
      <c r="N162" s="45">
        <v>41395</v>
      </c>
      <c r="O162" s="743">
        <v>41426</v>
      </c>
      <c r="P162" s="338"/>
      <c r="Q162" s="338"/>
      <c r="R162" s="338"/>
      <c r="S162" s="338"/>
      <c r="T162" s="338"/>
      <c r="U162" s="338"/>
      <c r="V162" s="338"/>
      <c r="W162" s="332"/>
      <c r="X162" s="25"/>
      <c r="Y162" s="25"/>
      <c r="Z162" s="25"/>
      <c r="AA162" s="25"/>
      <c r="AB162" s="25"/>
      <c r="AC162" s="25"/>
      <c r="AD162" s="25"/>
      <c r="AE162" s="25"/>
      <c r="AF162" s="25"/>
      <c r="AG162" s="25"/>
      <c r="AH162" s="25"/>
      <c r="AI162" s="25"/>
      <c r="AJ162" s="25"/>
      <c r="AK162" s="25"/>
      <c r="AL162" s="25"/>
      <c r="AM162" s="25"/>
      <c r="AN162" s="25"/>
      <c r="AO162" s="25"/>
      <c r="AP162" s="25"/>
      <c r="AQ162" s="25"/>
    </row>
    <row r="163" spans="1:43" s="333" customFormat="1" ht="12.75">
      <c r="A163" s="25"/>
      <c r="B163" s="128"/>
      <c r="C163" s="47" t="s">
        <v>1643</v>
      </c>
      <c r="D163" s="48" t="s">
        <v>168</v>
      </c>
      <c r="E163" s="48"/>
      <c r="F163" s="359">
        <v>1</v>
      </c>
      <c r="G163" s="163"/>
      <c r="H163" s="363">
        <f>I163*SUM(J163:O163)</f>
        <v>24000</v>
      </c>
      <c r="I163" s="464">
        <v>4000</v>
      </c>
      <c r="J163" s="559">
        <v>1</v>
      </c>
      <c r="K163" s="559">
        <v>1</v>
      </c>
      <c r="L163" s="559">
        <v>1</v>
      </c>
      <c r="M163" s="559">
        <v>1</v>
      </c>
      <c r="N163" s="559">
        <v>1</v>
      </c>
      <c r="O163" s="560">
        <v>1</v>
      </c>
      <c r="P163" s="25"/>
      <c r="Q163" s="25"/>
      <c r="R163" s="25"/>
      <c r="S163" s="25"/>
      <c r="T163" s="25"/>
      <c r="U163" s="25"/>
      <c r="V163" s="25"/>
      <c r="W163" s="332"/>
      <c r="X163" s="25"/>
      <c r="Y163" s="25"/>
      <c r="Z163" s="25"/>
      <c r="AA163" s="25"/>
      <c r="AB163" s="25"/>
      <c r="AC163" s="25"/>
      <c r="AD163" s="25"/>
      <c r="AE163" s="25"/>
      <c r="AF163" s="25"/>
      <c r="AG163" s="25"/>
      <c r="AH163" s="25"/>
      <c r="AI163" s="25"/>
      <c r="AJ163" s="25"/>
      <c r="AK163" s="25"/>
      <c r="AL163" s="25"/>
      <c r="AM163" s="25"/>
      <c r="AN163" s="25"/>
      <c r="AO163" s="25"/>
      <c r="AP163" s="25"/>
      <c r="AQ163" s="25"/>
    </row>
    <row r="164" spans="1:43" s="333" customFormat="1" ht="12.75">
      <c r="A164" s="25"/>
      <c r="B164" s="128"/>
      <c r="C164" s="47" t="s">
        <v>218</v>
      </c>
      <c r="D164" s="48" t="s">
        <v>182</v>
      </c>
      <c r="E164" s="48"/>
      <c r="F164" s="359">
        <v>1</v>
      </c>
      <c r="G164" s="163"/>
      <c r="H164" s="357">
        <f t="shared" ref="H164:H165" si="123">I164*SUM(J164:O164)</f>
        <v>4000</v>
      </c>
      <c r="I164" s="464">
        <v>1000</v>
      </c>
      <c r="J164" s="559">
        <v>0</v>
      </c>
      <c r="K164" s="559">
        <v>0</v>
      </c>
      <c r="L164" s="559">
        <v>1</v>
      </c>
      <c r="M164" s="559">
        <v>1</v>
      </c>
      <c r="N164" s="559">
        <v>1</v>
      </c>
      <c r="O164" s="560">
        <v>1</v>
      </c>
      <c r="P164" s="25"/>
      <c r="Q164" s="25"/>
      <c r="R164" s="25"/>
      <c r="S164" s="25"/>
      <c r="T164" s="25"/>
      <c r="U164" s="25"/>
      <c r="V164" s="25"/>
      <c r="W164" s="332"/>
      <c r="X164" s="25"/>
      <c r="Y164" s="25"/>
      <c r="Z164" s="25"/>
      <c r="AA164" s="25"/>
      <c r="AB164" s="25"/>
      <c r="AC164" s="25"/>
      <c r="AD164" s="25"/>
      <c r="AE164" s="25"/>
      <c r="AF164" s="25"/>
      <c r="AG164" s="25"/>
      <c r="AH164" s="25"/>
      <c r="AI164" s="25"/>
      <c r="AJ164" s="25"/>
      <c r="AK164" s="25"/>
      <c r="AL164" s="25"/>
      <c r="AM164" s="25"/>
      <c r="AN164" s="25"/>
      <c r="AO164" s="25"/>
      <c r="AP164" s="25"/>
      <c r="AQ164" s="25"/>
    </row>
    <row r="165" spans="1:43" s="333" customFormat="1" ht="12.75">
      <c r="A165" s="25"/>
      <c r="B165" s="128"/>
      <c r="C165" s="47" t="s">
        <v>219</v>
      </c>
      <c r="D165" s="48" t="s">
        <v>182</v>
      </c>
      <c r="E165" s="48"/>
      <c r="F165" s="359">
        <v>1</v>
      </c>
      <c r="G165" s="163"/>
      <c r="H165" s="357">
        <f t="shared" si="123"/>
        <v>1500</v>
      </c>
      <c r="I165" s="464">
        <v>500</v>
      </c>
      <c r="J165" s="559">
        <v>0</v>
      </c>
      <c r="K165" s="559">
        <v>0</v>
      </c>
      <c r="L165" s="559">
        <v>0</v>
      </c>
      <c r="M165" s="559">
        <v>1</v>
      </c>
      <c r="N165" s="559">
        <v>1</v>
      </c>
      <c r="O165" s="560">
        <v>1</v>
      </c>
      <c r="P165" s="25"/>
      <c r="Q165" s="25"/>
      <c r="R165" s="25"/>
      <c r="S165" s="25"/>
      <c r="T165" s="25"/>
      <c r="U165" s="25"/>
      <c r="V165" s="25"/>
      <c r="W165" s="332"/>
      <c r="X165" s="25"/>
      <c r="Y165" s="25"/>
      <c r="Z165" s="25"/>
      <c r="AA165" s="25"/>
      <c r="AB165" s="25"/>
      <c r="AC165" s="25"/>
      <c r="AD165" s="25"/>
      <c r="AE165" s="25"/>
      <c r="AF165" s="25"/>
      <c r="AG165" s="25"/>
      <c r="AH165" s="25"/>
      <c r="AI165" s="25"/>
      <c r="AJ165" s="25"/>
      <c r="AK165" s="25"/>
      <c r="AL165" s="25"/>
      <c r="AM165" s="25"/>
      <c r="AN165" s="25"/>
      <c r="AO165" s="25"/>
      <c r="AP165" s="25"/>
      <c r="AQ165" s="25"/>
    </row>
    <row r="166" spans="1:43" s="333" customFormat="1" ht="12.75">
      <c r="A166" s="25"/>
      <c r="B166" s="128" t="s">
        <v>210</v>
      </c>
      <c r="C166" s="499" t="s">
        <v>234</v>
      </c>
      <c r="D166" s="343"/>
      <c r="E166" s="343"/>
      <c r="F166" s="501">
        <f>SUM(F163:F165)</f>
        <v>3</v>
      </c>
      <c r="G166" s="184"/>
      <c r="H166" s="370">
        <f>SUM(H163:H165)</f>
        <v>29500</v>
      </c>
      <c r="I166" s="747"/>
      <c r="J166" s="747"/>
      <c r="K166" s="343"/>
      <c r="L166" s="343"/>
      <c r="M166" s="343"/>
      <c r="N166" s="343"/>
      <c r="O166" s="765"/>
      <c r="P166" s="25"/>
      <c r="Q166" s="25"/>
      <c r="R166" s="25"/>
      <c r="S166" s="25"/>
      <c r="T166" s="25"/>
      <c r="U166" s="25"/>
      <c r="V166" s="25"/>
      <c r="W166" s="332"/>
      <c r="X166" s="25"/>
      <c r="Y166" s="25"/>
      <c r="Z166" s="25"/>
      <c r="AA166" s="25"/>
      <c r="AB166" s="25"/>
      <c r="AC166" s="25"/>
      <c r="AD166" s="25"/>
      <c r="AE166" s="25"/>
      <c r="AF166" s="25"/>
      <c r="AG166" s="25"/>
      <c r="AH166" s="25"/>
      <c r="AI166" s="25"/>
      <c r="AJ166" s="25"/>
      <c r="AK166" s="25"/>
      <c r="AL166" s="25"/>
      <c r="AM166" s="25"/>
      <c r="AN166" s="25"/>
      <c r="AO166" s="25"/>
      <c r="AP166" s="25"/>
      <c r="AQ166" s="25"/>
    </row>
    <row r="167" spans="1:43" s="333" customFormat="1" ht="12.75">
      <c r="A167" s="25"/>
      <c r="B167" s="128"/>
      <c r="C167" s="25"/>
      <c r="D167" s="25"/>
      <c r="E167" s="25"/>
      <c r="F167" s="32"/>
      <c r="G167" s="128"/>
      <c r="H167" s="128"/>
      <c r="I167" s="332"/>
      <c r="J167" s="332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332"/>
      <c r="X167" s="25"/>
      <c r="Y167" s="25"/>
      <c r="Z167" s="25"/>
      <c r="AA167" s="25"/>
      <c r="AB167" s="25"/>
      <c r="AC167" s="25"/>
      <c r="AD167" s="25"/>
      <c r="AE167" s="25"/>
      <c r="AF167" s="25"/>
      <c r="AG167" s="25"/>
      <c r="AH167" s="25"/>
      <c r="AI167" s="25"/>
      <c r="AJ167" s="25"/>
      <c r="AK167" s="25"/>
      <c r="AL167" s="25"/>
      <c r="AM167" s="25"/>
      <c r="AN167" s="25"/>
      <c r="AO167" s="25"/>
      <c r="AP167" s="25"/>
      <c r="AQ167" s="25"/>
    </row>
    <row r="168" spans="1:43" s="333" customFormat="1" ht="12.75">
      <c r="A168" s="25"/>
      <c r="B168" s="128"/>
      <c r="C168" s="38" t="s">
        <v>159</v>
      </c>
      <c r="D168" s="39"/>
      <c r="E168" s="39"/>
      <c r="F168" s="775"/>
      <c r="G168" s="157"/>
      <c r="H168" s="157"/>
      <c r="I168" s="651"/>
      <c r="J168" s="651"/>
      <c r="K168" s="39" t="s">
        <v>260</v>
      </c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32"/>
      <c r="X168" s="25"/>
      <c r="Y168" s="25"/>
      <c r="Z168" s="25"/>
      <c r="AA168" s="25"/>
      <c r="AB168" s="25"/>
      <c r="AC168" s="25"/>
      <c r="AD168" s="25"/>
      <c r="AE168" s="25"/>
      <c r="AF168" s="25"/>
      <c r="AG168" s="25"/>
      <c r="AH168" s="25"/>
      <c r="AI168" s="25"/>
      <c r="AJ168" s="25"/>
      <c r="AK168" s="25"/>
      <c r="AL168" s="25"/>
      <c r="AM168" s="25"/>
      <c r="AN168" s="25"/>
      <c r="AO168" s="25"/>
      <c r="AP168" s="25"/>
      <c r="AQ168" s="25"/>
    </row>
    <row r="169" spans="1:43" s="333" customFormat="1" ht="12.75">
      <c r="A169" s="25"/>
      <c r="B169" s="128"/>
      <c r="C169" s="42" t="s">
        <v>161</v>
      </c>
      <c r="D169" s="43" t="s">
        <v>162</v>
      </c>
      <c r="E169" s="43"/>
      <c r="F169" s="776" t="s">
        <v>163</v>
      </c>
      <c r="G169" s="43" t="s">
        <v>34</v>
      </c>
      <c r="H169" s="43" t="s">
        <v>157</v>
      </c>
      <c r="I169" s="748" t="s">
        <v>259</v>
      </c>
      <c r="J169" s="748" t="s">
        <v>258</v>
      </c>
      <c r="K169" s="45">
        <v>41456</v>
      </c>
      <c r="L169" s="45">
        <v>41487</v>
      </c>
      <c r="M169" s="45">
        <v>41518</v>
      </c>
      <c r="N169" s="45">
        <v>41548</v>
      </c>
      <c r="O169" s="45">
        <v>41579</v>
      </c>
      <c r="P169" s="45">
        <v>41609</v>
      </c>
      <c r="Q169" s="45">
        <v>41640</v>
      </c>
      <c r="R169" s="45">
        <v>41671</v>
      </c>
      <c r="S169" s="45">
        <v>41699</v>
      </c>
      <c r="T169" s="45">
        <v>41730</v>
      </c>
      <c r="U169" s="45">
        <v>41760</v>
      </c>
      <c r="V169" s="45">
        <v>41791</v>
      </c>
      <c r="W169" s="692" t="s">
        <v>238</v>
      </c>
      <c r="X169" s="25"/>
      <c r="Y169" s="25"/>
      <c r="Z169" s="25"/>
      <c r="AA169" s="25"/>
      <c r="AB169" s="25"/>
      <c r="AC169" s="25"/>
      <c r="AD169" s="25"/>
      <c r="AE169" s="25"/>
      <c r="AF169" s="25"/>
      <c r="AG169" s="25"/>
      <c r="AH169" s="25"/>
      <c r="AI169" s="25"/>
      <c r="AJ169" s="25"/>
      <c r="AK169" s="25"/>
      <c r="AL169" s="25"/>
      <c r="AM169" s="25"/>
      <c r="AN169" s="25"/>
      <c r="AO169" s="25"/>
      <c r="AP169" s="25"/>
      <c r="AQ169" s="25"/>
    </row>
    <row r="170" spans="1:43" s="25" customFormat="1" ht="12.75">
      <c r="B170" s="128"/>
      <c r="C170" s="497" t="s">
        <v>166</v>
      </c>
      <c r="D170" s="48"/>
      <c r="E170" s="48"/>
      <c r="F170" s="51"/>
      <c r="G170" s="49"/>
      <c r="H170" s="199"/>
      <c r="I170" s="547"/>
      <c r="J170" s="547"/>
      <c r="K170" s="749"/>
      <c r="L170" s="455"/>
      <c r="M170" s="455"/>
      <c r="N170" s="455"/>
      <c r="O170" s="455"/>
      <c r="P170" s="455"/>
      <c r="Q170" s="455"/>
      <c r="R170" s="455"/>
      <c r="S170" s="455"/>
      <c r="T170" s="455"/>
      <c r="U170" s="455"/>
      <c r="V170" s="516"/>
      <c r="W170" s="332"/>
    </row>
    <row r="171" spans="1:43" s="25" customFormat="1" ht="12.75">
      <c r="B171" s="128"/>
      <c r="C171" s="47" t="str">
        <f>C35</f>
        <v>President</v>
      </c>
      <c r="D171" s="48" t="s">
        <v>168</v>
      </c>
      <c r="E171" s="48" t="str">
        <f>CONCATENATE(C171,D171)</f>
        <v>PresidentFT</v>
      </c>
      <c r="F171" s="359">
        <v>1</v>
      </c>
      <c r="G171" s="49"/>
      <c r="H171" s="357">
        <f>J171*SUM(K171:V171)</f>
        <v>91000</v>
      </c>
      <c r="I171" s="661">
        <f>VLOOKUP(E171,$E$35:$I$56,3,FALSE)</f>
        <v>91000</v>
      </c>
      <c r="J171" s="661">
        <f>I171/12</f>
        <v>7583.333333333333</v>
      </c>
      <c r="K171" s="533">
        <f>F171</f>
        <v>1</v>
      </c>
      <c r="L171" s="359">
        <f>K171</f>
        <v>1</v>
      </c>
      <c r="M171" s="359">
        <f t="shared" ref="M171:V171" si="124">L171</f>
        <v>1</v>
      </c>
      <c r="N171" s="359">
        <f t="shared" si="124"/>
        <v>1</v>
      </c>
      <c r="O171" s="359">
        <f t="shared" si="124"/>
        <v>1</v>
      </c>
      <c r="P171" s="359">
        <f t="shared" si="124"/>
        <v>1</v>
      </c>
      <c r="Q171" s="359">
        <f t="shared" si="124"/>
        <v>1</v>
      </c>
      <c r="R171" s="359">
        <f t="shared" si="124"/>
        <v>1</v>
      </c>
      <c r="S171" s="359">
        <f t="shared" si="124"/>
        <v>1</v>
      </c>
      <c r="T171" s="359">
        <f t="shared" si="124"/>
        <v>1</v>
      </c>
      <c r="U171" s="359">
        <f t="shared" si="124"/>
        <v>1</v>
      </c>
      <c r="V171" s="360">
        <f t="shared" si="124"/>
        <v>1</v>
      </c>
      <c r="W171" s="332" t="str">
        <f>IF(V171-F171=0,"true","false")</f>
        <v>true</v>
      </c>
    </row>
    <row r="172" spans="1:43" s="25" customFormat="1" ht="12.75">
      <c r="B172" s="128"/>
      <c r="C172" s="47" t="str">
        <f>C36</f>
        <v>Vice President</v>
      </c>
      <c r="D172" s="48" t="s">
        <v>168</v>
      </c>
      <c r="E172" s="48" t="str">
        <f t="shared" ref="E172" si="125">CONCATENATE(C172,D172)</f>
        <v>Vice PresidentFT</v>
      </c>
      <c r="F172" s="359">
        <v>1</v>
      </c>
      <c r="G172" s="49"/>
      <c r="H172" s="357">
        <f t="shared" ref="H172" si="126">J172*SUM(K172:V172)</f>
        <v>65000</v>
      </c>
      <c r="I172" s="661">
        <f>VLOOKUP(E172,$E$35:$I$56,3,FALSE)</f>
        <v>65000</v>
      </c>
      <c r="J172" s="661">
        <f t="shared" ref="J172" si="127">I172/12</f>
        <v>5416.666666666667</v>
      </c>
      <c r="K172" s="533">
        <f t="shared" ref="K172" si="128">F172</f>
        <v>1</v>
      </c>
      <c r="L172" s="359">
        <f t="shared" ref="L172:V172" si="129">K172</f>
        <v>1</v>
      </c>
      <c r="M172" s="359">
        <f t="shared" si="129"/>
        <v>1</v>
      </c>
      <c r="N172" s="359">
        <f t="shared" si="129"/>
        <v>1</v>
      </c>
      <c r="O172" s="359">
        <f t="shared" si="129"/>
        <v>1</v>
      </c>
      <c r="P172" s="359">
        <f t="shared" si="129"/>
        <v>1</v>
      </c>
      <c r="Q172" s="359">
        <f t="shared" si="129"/>
        <v>1</v>
      </c>
      <c r="R172" s="359">
        <f t="shared" si="129"/>
        <v>1</v>
      </c>
      <c r="S172" s="359">
        <f t="shared" si="129"/>
        <v>1</v>
      </c>
      <c r="T172" s="359">
        <f t="shared" si="129"/>
        <v>1</v>
      </c>
      <c r="U172" s="359">
        <f t="shared" si="129"/>
        <v>1</v>
      </c>
      <c r="V172" s="360">
        <f t="shared" si="129"/>
        <v>1</v>
      </c>
      <c r="W172" s="332" t="str">
        <f t="shared" ref="W172:W173" si="130">IF(V172-F172=0,"true","false")</f>
        <v>true</v>
      </c>
    </row>
    <row r="173" spans="1:43" s="25" customFormat="1" ht="12.75">
      <c r="B173" s="128"/>
      <c r="C173" s="60"/>
      <c r="D173" s="61"/>
      <c r="E173" s="61"/>
      <c r="F173" s="563"/>
      <c r="G173" s="62"/>
      <c r="H173" s="369"/>
      <c r="I173" s="750"/>
      <c r="J173" s="750"/>
      <c r="K173" s="566"/>
      <c r="L173" s="563"/>
      <c r="M173" s="563"/>
      <c r="N173" s="563"/>
      <c r="O173" s="563"/>
      <c r="P173" s="563"/>
      <c r="Q173" s="563"/>
      <c r="R173" s="563"/>
      <c r="S173" s="563"/>
      <c r="T173" s="563"/>
      <c r="U173" s="563"/>
      <c r="V173" s="564"/>
      <c r="W173" s="332" t="str">
        <f t="shared" si="130"/>
        <v>true</v>
      </c>
    </row>
    <row r="174" spans="1:43" s="25" customFormat="1" ht="12.75" hidden="1">
      <c r="B174" s="128" t="s">
        <v>166</v>
      </c>
      <c r="C174" s="48"/>
      <c r="D174" s="48"/>
      <c r="E174" s="48"/>
      <c r="F174" s="51">
        <f>SUM(F171:F173)</f>
        <v>2</v>
      </c>
      <c r="G174" s="49"/>
      <c r="H174" s="456">
        <f>SUM(H171:H173)</f>
        <v>156000</v>
      </c>
      <c r="I174" s="661"/>
      <c r="J174" s="661"/>
      <c r="K174" s="456"/>
      <c r="L174" s="456"/>
      <c r="M174" s="456"/>
      <c r="N174" s="456"/>
      <c r="O174" s="456"/>
      <c r="P174" s="456"/>
      <c r="Q174" s="456"/>
      <c r="R174" s="456"/>
      <c r="S174" s="456"/>
      <c r="T174" s="456"/>
      <c r="U174" s="456"/>
      <c r="V174" s="456"/>
      <c r="W174" s="332"/>
    </row>
    <row r="175" spans="1:43" s="25" customFormat="1" ht="7.5" customHeight="1">
      <c r="B175" s="128"/>
      <c r="F175" s="32"/>
      <c r="G175" s="49"/>
      <c r="H175" s="49"/>
      <c r="I175" s="332"/>
      <c r="J175" s="332"/>
      <c r="K175" s="254"/>
      <c r="L175" s="254"/>
      <c r="M175" s="254"/>
      <c r="N175" s="254"/>
      <c r="O175" s="254"/>
      <c r="P175" s="254"/>
      <c r="Q175" s="254"/>
      <c r="R175" s="254"/>
      <c r="S175" s="254"/>
      <c r="T175" s="254"/>
      <c r="U175" s="254"/>
      <c r="V175" s="254"/>
      <c r="W175" s="332"/>
    </row>
    <row r="176" spans="1:43" s="25" customFormat="1" ht="12.75">
      <c r="B176" s="128"/>
      <c r="C176" s="534" t="s">
        <v>172</v>
      </c>
      <c r="D176" s="455"/>
      <c r="E176" s="455"/>
      <c r="F176" s="364"/>
      <c r="G176" s="186"/>
      <c r="H176" s="199"/>
      <c r="I176" s="751"/>
      <c r="J176" s="752"/>
      <c r="K176" s="654"/>
      <c r="L176" s="655"/>
      <c r="M176" s="655"/>
      <c r="N176" s="655"/>
      <c r="O176" s="655"/>
      <c r="P176" s="655"/>
      <c r="Q176" s="655"/>
      <c r="R176" s="655"/>
      <c r="S176" s="655"/>
      <c r="T176" s="655"/>
      <c r="U176" s="655"/>
      <c r="V176" s="656"/>
      <c r="W176" s="332"/>
    </row>
    <row r="177" spans="2:23" s="25" customFormat="1" ht="12.75">
      <c r="B177" s="128"/>
      <c r="C177" s="498" t="s">
        <v>173</v>
      </c>
      <c r="D177" s="48"/>
      <c r="E177" s="48"/>
      <c r="F177" s="51"/>
      <c r="G177" s="49"/>
      <c r="H177" s="200"/>
      <c r="I177" s="547"/>
      <c r="J177" s="737"/>
      <c r="K177" s="541"/>
      <c r="L177" s="456"/>
      <c r="M177" s="456"/>
      <c r="N177" s="456"/>
      <c r="O177" s="456"/>
      <c r="P177" s="456"/>
      <c r="Q177" s="456"/>
      <c r="R177" s="456"/>
      <c r="S177" s="456"/>
      <c r="T177" s="456"/>
      <c r="U177" s="456"/>
      <c r="V177" s="576"/>
      <c r="W177" s="332"/>
    </row>
    <row r="178" spans="2:23" s="25" customFormat="1" ht="12.75">
      <c r="B178" s="128"/>
      <c r="C178" s="47" t="s">
        <v>174</v>
      </c>
      <c r="D178" s="48" t="s">
        <v>168</v>
      </c>
      <c r="E178" s="48" t="str">
        <f>CONCATENATE(C178,D178)</f>
        <v>Financial ControllerFT</v>
      </c>
      <c r="F178" s="359">
        <v>1</v>
      </c>
      <c r="G178" s="49"/>
      <c r="H178" s="753">
        <f t="shared" ref="H178:H179" si="131">J178*SUM(K178:V178)</f>
        <v>18750</v>
      </c>
      <c r="I178" s="661">
        <f>VLOOKUP(E178,$E$35:$I$56,3,FALSE)</f>
        <v>18750</v>
      </c>
      <c r="J178" s="755">
        <f>I178/12</f>
        <v>1562.5</v>
      </c>
      <c r="K178" s="533">
        <f>F178</f>
        <v>1</v>
      </c>
      <c r="L178" s="359">
        <f>K178</f>
        <v>1</v>
      </c>
      <c r="M178" s="359">
        <f t="shared" ref="M178:V179" si="132">L178</f>
        <v>1</v>
      </c>
      <c r="N178" s="359">
        <f t="shared" si="132"/>
        <v>1</v>
      </c>
      <c r="O178" s="359">
        <f t="shared" si="132"/>
        <v>1</v>
      </c>
      <c r="P178" s="359">
        <f t="shared" si="132"/>
        <v>1</v>
      </c>
      <c r="Q178" s="359">
        <f t="shared" si="132"/>
        <v>1</v>
      </c>
      <c r="R178" s="359">
        <f t="shared" si="132"/>
        <v>1</v>
      </c>
      <c r="S178" s="359">
        <f t="shared" si="132"/>
        <v>1</v>
      </c>
      <c r="T178" s="359">
        <f t="shared" si="132"/>
        <v>1</v>
      </c>
      <c r="U178" s="359">
        <f t="shared" si="132"/>
        <v>1</v>
      </c>
      <c r="V178" s="360">
        <f t="shared" si="132"/>
        <v>1</v>
      </c>
      <c r="W178" s="332" t="str">
        <f t="shared" ref="W178:W179" si="133">IF(V178-F178=0,"true","false")</f>
        <v>true</v>
      </c>
    </row>
    <row r="179" spans="2:23" s="25" customFormat="1" ht="12.75">
      <c r="B179" s="128"/>
      <c r="C179" s="47" t="s">
        <v>178</v>
      </c>
      <c r="D179" s="48" t="s">
        <v>168</v>
      </c>
      <c r="E179" s="48" t="str">
        <f t="shared" ref="E179:E183" si="134">CONCATENATE(C179,D179)</f>
        <v>AssociateFT</v>
      </c>
      <c r="F179" s="359">
        <v>1</v>
      </c>
      <c r="G179" s="49"/>
      <c r="H179" s="753">
        <f t="shared" si="131"/>
        <v>2812.5</v>
      </c>
      <c r="I179" s="661">
        <f>VLOOKUP(E179,$E$35:$I$56,3,FALSE)</f>
        <v>3750</v>
      </c>
      <c r="J179" s="755">
        <f>I179/12</f>
        <v>312.5</v>
      </c>
      <c r="K179" s="533">
        <v>0</v>
      </c>
      <c r="L179" s="359">
        <v>0</v>
      </c>
      <c r="M179" s="359">
        <v>0</v>
      </c>
      <c r="N179" s="359">
        <v>1</v>
      </c>
      <c r="O179" s="359">
        <f t="shared" si="132"/>
        <v>1</v>
      </c>
      <c r="P179" s="359">
        <f t="shared" si="132"/>
        <v>1</v>
      </c>
      <c r="Q179" s="359">
        <f t="shared" si="132"/>
        <v>1</v>
      </c>
      <c r="R179" s="359">
        <f t="shared" si="132"/>
        <v>1</v>
      </c>
      <c r="S179" s="359">
        <f t="shared" si="132"/>
        <v>1</v>
      </c>
      <c r="T179" s="359">
        <f t="shared" si="132"/>
        <v>1</v>
      </c>
      <c r="U179" s="359">
        <f t="shared" si="132"/>
        <v>1</v>
      </c>
      <c r="V179" s="360">
        <f t="shared" si="132"/>
        <v>1</v>
      </c>
      <c r="W179" s="332" t="str">
        <f t="shared" si="133"/>
        <v>true</v>
      </c>
    </row>
    <row r="180" spans="2:23" s="25" customFormat="1" ht="7.5" customHeight="1">
      <c r="B180" s="128"/>
      <c r="C180" s="47"/>
      <c r="D180" s="48"/>
      <c r="E180" s="48" t="str">
        <f t="shared" si="134"/>
        <v/>
      </c>
      <c r="F180" s="51"/>
      <c r="G180" s="49"/>
      <c r="H180" s="339"/>
      <c r="I180" s="547"/>
      <c r="J180" s="737"/>
      <c r="K180" s="572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368"/>
      <c r="W180" s="332"/>
    </row>
    <row r="181" spans="2:23" s="25" customFormat="1" ht="12.75">
      <c r="B181" s="128"/>
      <c r="C181" s="498" t="s">
        <v>176</v>
      </c>
      <c r="D181" s="48"/>
      <c r="E181" s="48"/>
      <c r="F181" s="51"/>
      <c r="G181" s="49"/>
      <c r="H181" s="339"/>
      <c r="I181" s="547"/>
      <c r="J181" s="737"/>
      <c r="K181" s="572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368"/>
      <c r="W181" s="332"/>
    </row>
    <row r="182" spans="2:23" s="25" customFormat="1" ht="12.75">
      <c r="B182" s="128"/>
      <c r="C182" s="47" t="s">
        <v>793</v>
      </c>
      <c r="D182" s="48" t="s">
        <v>168</v>
      </c>
      <c r="E182" s="48" t="str">
        <f t="shared" si="134"/>
        <v>Human Resource ManagerFT</v>
      </c>
      <c r="F182" s="359">
        <v>1</v>
      </c>
      <c r="G182" s="49"/>
      <c r="H182" s="753">
        <f t="shared" ref="H182:H183" si="135">J182*SUM(K182:V182)</f>
        <v>18750</v>
      </c>
      <c r="I182" s="754">
        <f>VLOOKUP(E182,$E$35:$I$56,3,FALSE)</f>
        <v>18750</v>
      </c>
      <c r="J182" s="755">
        <f>I182/12</f>
        <v>1562.5</v>
      </c>
      <c r="K182" s="533">
        <f t="shared" ref="K182" si="136">F182</f>
        <v>1</v>
      </c>
      <c r="L182" s="359">
        <f t="shared" ref="L182:V183" si="137">K182</f>
        <v>1</v>
      </c>
      <c r="M182" s="359">
        <f t="shared" si="137"/>
        <v>1</v>
      </c>
      <c r="N182" s="359">
        <f t="shared" si="137"/>
        <v>1</v>
      </c>
      <c r="O182" s="359">
        <f t="shared" si="137"/>
        <v>1</v>
      </c>
      <c r="P182" s="359">
        <f t="shared" si="137"/>
        <v>1</v>
      </c>
      <c r="Q182" s="359">
        <f t="shared" si="137"/>
        <v>1</v>
      </c>
      <c r="R182" s="359">
        <f t="shared" si="137"/>
        <v>1</v>
      </c>
      <c r="S182" s="359">
        <f t="shared" si="137"/>
        <v>1</v>
      </c>
      <c r="T182" s="359">
        <f t="shared" si="137"/>
        <v>1</v>
      </c>
      <c r="U182" s="359">
        <f t="shared" si="137"/>
        <v>1</v>
      </c>
      <c r="V182" s="360">
        <f t="shared" si="137"/>
        <v>1</v>
      </c>
      <c r="W182" s="332" t="str">
        <f t="shared" ref="W182:W183" si="138">IF(V182-F182=0,"true","false")</f>
        <v>true</v>
      </c>
    </row>
    <row r="183" spans="2:23" s="25" customFormat="1" ht="12.75">
      <c r="B183" s="128"/>
      <c r="C183" s="60" t="s">
        <v>178</v>
      </c>
      <c r="D183" s="61" t="s">
        <v>168</v>
      </c>
      <c r="E183" s="61" t="str">
        <f t="shared" si="134"/>
        <v>AssociateFT</v>
      </c>
      <c r="F183" s="563">
        <v>0</v>
      </c>
      <c r="G183" s="62"/>
      <c r="H183" s="756">
        <f t="shared" si="135"/>
        <v>0</v>
      </c>
      <c r="I183" s="757">
        <f>VLOOKUP(E183,$E$35:$I$56,3,FALSE)</f>
        <v>3750</v>
      </c>
      <c r="J183" s="758">
        <f>I183/12</f>
        <v>312.5</v>
      </c>
      <c r="K183" s="566">
        <v>0</v>
      </c>
      <c r="L183" s="563">
        <v>0</v>
      </c>
      <c r="M183" s="563">
        <v>0</v>
      </c>
      <c r="N183" s="563">
        <f>M183</f>
        <v>0</v>
      </c>
      <c r="O183" s="563">
        <f t="shared" si="137"/>
        <v>0</v>
      </c>
      <c r="P183" s="563">
        <f>O183</f>
        <v>0</v>
      </c>
      <c r="Q183" s="563">
        <f>P183</f>
        <v>0</v>
      </c>
      <c r="R183" s="563">
        <f t="shared" si="137"/>
        <v>0</v>
      </c>
      <c r="S183" s="563">
        <f t="shared" si="137"/>
        <v>0</v>
      </c>
      <c r="T183" s="563">
        <f t="shared" si="137"/>
        <v>0</v>
      </c>
      <c r="U183" s="563">
        <f t="shared" si="137"/>
        <v>0</v>
      </c>
      <c r="V183" s="564">
        <f t="shared" si="137"/>
        <v>0</v>
      </c>
      <c r="W183" s="332" t="str">
        <f t="shared" si="138"/>
        <v>true</v>
      </c>
    </row>
    <row r="184" spans="2:23" s="25" customFormat="1" ht="12.75" hidden="1">
      <c r="B184" s="128" t="s">
        <v>173</v>
      </c>
      <c r="C184" s="48"/>
      <c r="D184" s="48"/>
      <c r="E184" s="48"/>
      <c r="F184" s="51">
        <f>SUM(F178:F179)</f>
        <v>2</v>
      </c>
      <c r="G184" s="49"/>
      <c r="H184" s="340">
        <f>SUM(H178:H179)</f>
        <v>21562.5</v>
      </c>
      <c r="I184" s="754"/>
      <c r="J184" s="759"/>
      <c r="K184" s="456"/>
      <c r="L184" s="456"/>
      <c r="M184" s="456"/>
      <c r="N184" s="456"/>
      <c r="O184" s="456"/>
      <c r="P184" s="456"/>
      <c r="Q184" s="456"/>
      <c r="R184" s="456"/>
      <c r="S184" s="456"/>
      <c r="T184" s="456"/>
      <c r="U184" s="456"/>
      <c r="V184" s="456"/>
      <c r="W184" s="332"/>
    </row>
    <row r="185" spans="2:23" s="25" customFormat="1" ht="12.75" hidden="1">
      <c r="B185" s="128" t="str">
        <f>C11</f>
        <v>Human Resource Management</v>
      </c>
      <c r="C185" s="48"/>
      <c r="D185" s="48"/>
      <c r="E185" s="48"/>
      <c r="F185" s="51">
        <f>SUM(F182:F183)</f>
        <v>1</v>
      </c>
      <c r="G185" s="49"/>
      <c r="H185" s="340">
        <f>SUM(H182:H183)</f>
        <v>18750</v>
      </c>
      <c r="I185" s="754"/>
      <c r="J185" s="759"/>
      <c r="K185" s="456"/>
      <c r="L185" s="456"/>
      <c r="M185" s="456"/>
      <c r="N185" s="456"/>
      <c r="O185" s="456"/>
      <c r="P185" s="456"/>
      <c r="Q185" s="456"/>
      <c r="R185" s="456"/>
      <c r="S185" s="456"/>
      <c r="T185" s="456"/>
      <c r="U185" s="456"/>
      <c r="V185" s="456"/>
      <c r="W185" s="332"/>
    </row>
    <row r="186" spans="2:23" s="25" customFormat="1" ht="7.5" customHeight="1">
      <c r="B186" s="128"/>
      <c r="F186" s="32"/>
      <c r="G186" s="49"/>
      <c r="H186" s="49"/>
      <c r="I186" s="332"/>
      <c r="J186" s="332"/>
      <c r="K186" s="254"/>
      <c r="L186" s="254"/>
      <c r="M186" s="254"/>
      <c r="N186" s="254"/>
      <c r="O186" s="254"/>
      <c r="P186" s="254"/>
      <c r="Q186" s="254"/>
      <c r="R186" s="254"/>
      <c r="S186" s="254"/>
      <c r="T186" s="254"/>
      <c r="U186" s="254"/>
      <c r="V186" s="254"/>
      <c r="W186" s="332"/>
    </row>
    <row r="187" spans="2:23" s="25" customFormat="1" ht="12.75">
      <c r="B187" s="128"/>
      <c r="C187" s="534" t="s">
        <v>179</v>
      </c>
      <c r="D187" s="455"/>
      <c r="E187" s="455"/>
      <c r="F187" s="364"/>
      <c r="G187" s="186"/>
      <c r="H187" s="199"/>
      <c r="I187" s="751"/>
      <c r="J187" s="752"/>
      <c r="K187" s="673"/>
      <c r="L187" s="674"/>
      <c r="M187" s="674"/>
      <c r="N187" s="674"/>
      <c r="O187" s="674"/>
      <c r="P187" s="674"/>
      <c r="Q187" s="674"/>
      <c r="R187" s="674"/>
      <c r="S187" s="674"/>
      <c r="T187" s="674"/>
      <c r="U187" s="674"/>
      <c r="V187" s="675"/>
      <c r="W187" s="332"/>
    </row>
    <row r="188" spans="2:23" s="25" customFormat="1" ht="12.75">
      <c r="B188" s="128"/>
      <c r="C188" s="497" t="s">
        <v>19</v>
      </c>
      <c r="D188" s="48"/>
      <c r="E188" s="48"/>
      <c r="F188" s="51"/>
      <c r="G188" s="49"/>
      <c r="H188" s="200"/>
      <c r="I188" s="754"/>
      <c r="J188" s="737"/>
      <c r="K188" s="572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368"/>
      <c r="W188" s="332"/>
    </row>
    <row r="189" spans="2:23" s="25" customFormat="1" ht="12.75">
      <c r="B189" s="128"/>
      <c r="C189" s="47" t="s">
        <v>180</v>
      </c>
      <c r="D189" s="48" t="s">
        <v>168</v>
      </c>
      <c r="E189" s="48" t="str">
        <f>CONCATENATE(C189,D189)</f>
        <v>Department HeadFT</v>
      </c>
      <c r="F189" s="359">
        <v>1</v>
      </c>
      <c r="G189" s="49"/>
      <c r="H189" s="753">
        <f t="shared" ref="H189:H192" si="139">J189*SUM(K189:V189)</f>
        <v>37500</v>
      </c>
      <c r="I189" s="754">
        <f>VLOOKUP(E189,$E$35:$I$56,3,FALSE)</f>
        <v>37500</v>
      </c>
      <c r="J189" s="755">
        <f>I189/12</f>
        <v>3125</v>
      </c>
      <c r="K189" s="533">
        <f t="shared" ref="K189:K191" si="140">F189</f>
        <v>1</v>
      </c>
      <c r="L189" s="359">
        <f t="shared" ref="L189:V192" si="141">K189</f>
        <v>1</v>
      </c>
      <c r="M189" s="359">
        <f t="shared" si="141"/>
        <v>1</v>
      </c>
      <c r="N189" s="359">
        <f t="shared" si="141"/>
        <v>1</v>
      </c>
      <c r="O189" s="359">
        <f t="shared" si="141"/>
        <v>1</v>
      </c>
      <c r="P189" s="359">
        <f t="shared" si="141"/>
        <v>1</v>
      </c>
      <c r="Q189" s="359">
        <f t="shared" si="141"/>
        <v>1</v>
      </c>
      <c r="R189" s="359">
        <f t="shared" si="141"/>
        <v>1</v>
      </c>
      <c r="S189" s="359">
        <f t="shared" si="141"/>
        <v>1</v>
      </c>
      <c r="T189" s="359">
        <f t="shared" si="141"/>
        <v>1</v>
      </c>
      <c r="U189" s="359">
        <f t="shared" si="141"/>
        <v>1</v>
      </c>
      <c r="V189" s="360">
        <f t="shared" si="141"/>
        <v>1</v>
      </c>
      <c r="W189" s="332" t="str">
        <f t="shared" ref="W189:W192" si="142">IF(V189-F189=0,"true","false")</f>
        <v>true</v>
      </c>
    </row>
    <row r="190" spans="2:23" s="25" customFormat="1" ht="12.75">
      <c r="B190" s="128"/>
      <c r="C190" s="47" t="s">
        <v>181</v>
      </c>
      <c r="D190" s="48" t="s">
        <v>168</v>
      </c>
      <c r="E190" s="48" t="str">
        <f t="shared" ref="E190:E234" si="143">CONCATENATE(C190,D190)</f>
        <v>DoctorsFT</v>
      </c>
      <c r="F190" s="359">
        <v>2</v>
      </c>
      <c r="G190" s="49"/>
      <c r="H190" s="753">
        <f t="shared" si="139"/>
        <v>62500</v>
      </c>
      <c r="I190" s="754">
        <f>VLOOKUP(E190,$E$35:$I$56,3,FALSE)</f>
        <v>31250</v>
      </c>
      <c r="J190" s="755">
        <f t="shared" ref="J190:J192" si="144">I190/12</f>
        <v>2604.1666666666665</v>
      </c>
      <c r="K190" s="533">
        <f t="shared" si="140"/>
        <v>2</v>
      </c>
      <c r="L190" s="359">
        <f t="shared" si="141"/>
        <v>2</v>
      </c>
      <c r="M190" s="359">
        <f t="shared" si="141"/>
        <v>2</v>
      </c>
      <c r="N190" s="359">
        <f t="shared" si="141"/>
        <v>2</v>
      </c>
      <c r="O190" s="359">
        <f t="shared" si="141"/>
        <v>2</v>
      </c>
      <c r="P190" s="359">
        <f t="shared" si="141"/>
        <v>2</v>
      </c>
      <c r="Q190" s="359">
        <f t="shared" si="141"/>
        <v>2</v>
      </c>
      <c r="R190" s="359">
        <f t="shared" si="141"/>
        <v>2</v>
      </c>
      <c r="S190" s="359">
        <f t="shared" si="141"/>
        <v>2</v>
      </c>
      <c r="T190" s="359">
        <f t="shared" si="141"/>
        <v>2</v>
      </c>
      <c r="U190" s="359">
        <f t="shared" si="141"/>
        <v>2</v>
      </c>
      <c r="V190" s="360">
        <f t="shared" si="141"/>
        <v>2</v>
      </c>
      <c r="W190" s="332" t="str">
        <f t="shared" si="142"/>
        <v>true</v>
      </c>
    </row>
    <row r="191" spans="2:23" s="25" customFormat="1" ht="12.75">
      <c r="B191" s="128"/>
      <c r="C191" s="47" t="s">
        <v>181</v>
      </c>
      <c r="D191" s="48" t="s">
        <v>182</v>
      </c>
      <c r="E191" s="48" t="str">
        <f t="shared" si="143"/>
        <v>DoctorsPT</v>
      </c>
      <c r="F191" s="359">
        <v>2</v>
      </c>
      <c r="G191" s="49"/>
      <c r="H191" s="753">
        <f t="shared" si="139"/>
        <v>30000</v>
      </c>
      <c r="I191" s="754">
        <f>VLOOKUP(E191,$E$35:$I$56,3,FALSE)</f>
        <v>15000</v>
      </c>
      <c r="J191" s="755">
        <f t="shared" si="144"/>
        <v>1250</v>
      </c>
      <c r="K191" s="533">
        <f t="shared" si="140"/>
        <v>2</v>
      </c>
      <c r="L191" s="359">
        <f t="shared" si="141"/>
        <v>2</v>
      </c>
      <c r="M191" s="359">
        <f t="shared" si="141"/>
        <v>2</v>
      </c>
      <c r="N191" s="359">
        <f t="shared" si="141"/>
        <v>2</v>
      </c>
      <c r="O191" s="359">
        <f t="shared" si="141"/>
        <v>2</v>
      </c>
      <c r="P191" s="359">
        <f t="shared" si="141"/>
        <v>2</v>
      </c>
      <c r="Q191" s="359">
        <f t="shared" si="141"/>
        <v>2</v>
      </c>
      <c r="R191" s="359">
        <f t="shared" si="141"/>
        <v>2</v>
      </c>
      <c r="S191" s="359">
        <f t="shared" si="141"/>
        <v>2</v>
      </c>
      <c r="T191" s="359">
        <f t="shared" si="141"/>
        <v>2</v>
      </c>
      <c r="U191" s="359">
        <f t="shared" si="141"/>
        <v>2</v>
      </c>
      <c r="V191" s="360">
        <f t="shared" si="141"/>
        <v>2</v>
      </c>
      <c r="W191" s="332" t="str">
        <f t="shared" si="142"/>
        <v>true</v>
      </c>
    </row>
    <row r="192" spans="2:23" s="25" customFormat="1" ht="12.75">
      <c r="B192" s="128"/>
      <c r="C192" s="47" t="s">
        <v>183</v>
      </c>
      <c r="D192" s="48" t="s">
        <v>168</v>
      </c>
      <c r="E192" s="48" t="str">
        <f t="shared" si="143"/>
        <v>NursesFT</v>
      </c>
      <c r="F192" s="359">
        <v>4</v>
      </c>
      <c r="G192" s="49"/>
      <c r="H192" s="753">
        <f t="shared" si="139"/>
        <v>15000</v>
      </c>
      <c r="I192" s="754">
        <f>VLOOKUP(E192,$E$35:$I$56,3,FALSE)</f>
        <v>3750</v>
      </c>
      <c r="J192" s="755">
        <f t="shared" si="144"/>
        <v>312.5</v>
      </c>
      <c r="K192" s="533">
        <v>4</v>
      </c>
      <c r="L192" s="359">
        <f t="shared" si="141"/>
        <v>4</v>
      </c>
      <c r="M192" s="359">
        <f t="shared" si="141"/>
        <v>4</v>
      </c>
      <c r="N192" s="359">
        <v>4</v>
      </c>
      <c r="O192" s="359">
        <f t="shared" si="141"/>
        <v>4</v>
      </c>
      <c r="P192" s="359">
        <f t="shared" si="141"/>
        <v>4</v>
      </c>
      <c r="Q192" s="359">
        <f t="shared" si="141"/>
        <v>4</v>
      </c>
      <c r="R192" s="359">
        <f t="shared" si="141"/>
        <v>4</v>
      </c>
      <c r="S192" s="359">
        <f t="shared" si="141"/>
        <v>4</v>
      </c>
      <c r="T192" s="359">
        <f t="shared" si="141"/>
        <v>4</v>
      </c>
      <c r="U192" s="359">
        <f t="shared" si="141"/>
        <v>4</v>
      </c>
      <c r="V192" s="360">
        <f t="shared" si="141"/>
        <v>4</v>
      </c>
      <c r="W192" s="332" t="str">
        <f t="shared" si="142"/>
        <v>true</v>
      </c>
    </row>
    <row r="193" spans="2:23" s="25" customFormat="1" ht="7.5" customHeight="1">
      <c r="B193" s="128"/>
      <c r="C193" s="47"/>
      <c r="D193" s="48"/>
      <c r="E193" s="48" t="str">
        <f t="shared" si="143"/>
        <v/>
      </c>
      <c r="F193" s="51"/>
      <c r="G193" s="49"/>
      <c r="H193" s="201"/>
      <c r="I193" s="754"/>
      <c r="J193" s="737"/>
      <c r="K193" s="572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368"/>
      <c r="W193" s="332"/>
    </row>
    <row r="194" spans="2:23" s="25" customFormat="1" ht="12.75">
      <c r="B194" s="128"/>
      <c r="C194" s="497" t="s">
        <v>16</v>
      </c>
      <c r="D194" s="48"/>
      <c r="E194" s="48"/>
      <c r="F194" s="51"/>
      <c r="G194" s="49"/>
      <c r="H194" s="201"/>
      <c r="I194" s="754"/>
      <c r="J194" s="737"/>
      <c r="K194" s="572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368"/>
      <c r="W194" s="332"/>
    </row>
    <row r="195" spans="2:23" s="25" customFormat="1" ht="12.75">
      <c r="B195" s="128"/>
      <c r="C195" s="47" t="s">
        <v>180</v>
      </c>
      <c r="D195" s="48" t="s">
        <v>168</v>
      </c>
      <c r="E195" s="48" t="str">
        <f t="shared" si="143"/>
        <v>Department HeadFT</v>
      </c>
      <c r="F195" s="359">
        <v>1</v>
      </c>
      <c r="G195" s="49">
        <v>1</v>
      </c>
      <c r="H195" s="753">
        <f t="shared" ref="H195:H202" si="145">J195*SUM(K195:V195)</f>
        <v>37500</v>
      </c>
      <c r="I195" s="754">
        <f t="shared" ref="I195:I202" si="146">VLOOKUP(E195,$E$35:$I$56,3,FALSE)</f>
        <v>37500</v>
      </c>
      <c r="J195" s="755">
        <f t="shared" ref="J195:J202" si="147">I195/12</f>
        <v>3125</v>
      </c>
      <c r="K195" s="533">
        <f t="shared" ref="K195:K200" si="148">F195</f>
        <v>1</v>
      </c>
      <c r="L195" s="359">
        <f t="shared" ref="L195:V202" si="149">K195</f>
        <v>1</v>
      </c>
      <c r="M195" s="359">
        <f t="shared" si="149"/>
        <v>1</v>
      </c>
      <c r="N195" s="359">
        <f t="shared" si="149"/>
        <v>1</v>
      </c>
      <c r="O195" s="359">
        <f t="shared" si="149"/>
        <v>1</v>
      </c>
      <c r="P195" s="359">
        <f t="shared" si="149"/>
        <v>1</v>
      </c>
      <c r="Q195" s="359">
        <f t="shared" si="149"/>
        <v>1</v>
      </c>
      <c r="R195" s="359">
        <f t="shared" si="149"/>
        <v>1</v>
      </c>
      <c r="S195" s="359">
        <f t="shared" si="149"/>
        <v>1</v>
      </c>
      <c r="T195" s="359">
        <f t="shared" si="149"/>
        <v>1</v>
      </c>
      <c r="U195" s="359">
        <f t="shared" si="149"/>
        <v>1</v>
      </c>
      <c r="V195" s="360">
        <f t="shared" si="149"/>
        <v>1</v>
      </c>
      <c r="W195" s="332" t="str">
        <f t="shared" ref="W195:W202" si="150">IF(V195-F195=0,"true","false")</f>
        <v>true</v>
      </c>
    </row>
    <row r="196" spans="2:23" s="25" customFormat="1" ht="12.75">
      <c r="B196" s="774">
        <f>'App 1_5Yr Revenue'!$E$29/HLOOKUP(C196,'Medic Data'!$G$63:$L$72,2,FALSE)</f>
        <v>0.45550611961483167</v>
      </c>
      <c r="C196" s="47" t="s">
        <v>181</v>
      </c>
      <c r="D196" s="48" t="s">
        <v>168</v>
      </c>
      <c r="E196" s="48" t="str">
        <f t="shared" si="143"/>
        <v>DoctorsFT</v>
      </c>
      <c r="F196" s="359">
        <v>1</v>
      </c>
      <c r="G196" s="49">
        <v>4</v>
      </c>
      <c r="H196" s="753">
        <f t="shared" si="145"/>
        <v>31250</v>
      </c>
      <c r="I196" s="754">
        <f t="shared" si="146"/>
        <v>31250</v>
      </c>
      <c r="J196" s="755">
        <f t="shared" si="147"/>
        <v>2604.1666666666665</v>
      </c>
      <c r="K196" s="533">
        <v>1</v>
      </c>
      <c r="L196" s="359">
        <v>1</v>
      </c>
      <c r="M196" s="359">
        <v>1</v>
      </c>
      <c r="N196" s="359">
        <v>1</v>
      </c>
      <c r="O196" s="359">
        <f t="shared" si="149"/>
        <v>1</v>
      </c>
      <c r="P196" s="359">
        <f t="shared" si="149"/>
        <v>1</v>
      </c>
      <c r="Q196" s="359">
        <f t="shared" si="149"/>
        <v>1</v>
      </c>
      <c r="R196" s="359">
        <f t="shared" si="149"/>
        <v>1</v>
      </c>
      <c r="S196" s="359">
        <f t="shared" si="149"/>
        <v>1</v>
      </c>
      <c r="T196" s="359">
        <f t="shared" si="149"/>
        <v>1</v>
      </c>
      <c r="U196" s="359">
        <f t="shared" si="149"/>
        <v>1</v>
      </c>
      <c r="V196" s="360">
        <f t="shared" si="149"/>
        <v>1</v>
      </c>
      <c r="W196" s="332" t="str">
        <f t="shared" si="150"/>
        <v>true</v>
      </c>
    </row>
    <row r="197" spans="2:23" s="25" customFormat="1" ht="12.75">
      <c r="B197" s="128"/>
      <c r="C197" s="47" t="s">
        <v>181</v>
      </c>
      <c r="D197" s="48" t="s">
        <v>182</v>
      </c>
      <c r="E197" s="48" t="str">
        <f t="shared" si="143"/>
        <v>DoctorsPT</v>
      </c>
      <c r="F197" s="359">
        <f t="shared" ref="F197:F202" si="151">ROUNDUP(B197,0)</f>
        <v>0</v>
      </c>
      <c r="G197" s="49">
        <v>0</v>
      </c>
      <c r="H197" s="753">
        <f t="shared" si="145"/>
        <v>0</v>
      </c>
      <c r="I197" s="754">
        <f t="shared" si="146"/>
        <v>15000</v>
      </c>
      <c r="J197" s="755">
        <f t="shared" si="147"/>
        <v>1250</v>
      </c>
      <c r="K197" s="533">
        <f t="shared" si="148"/>
        <v>0</v>
      </c>
      <c r="L197" s="359">
        <f t="shared" si="149"/>
        <v>0</v>
      </c>
      <c r="M197" s="359">
        <f t="shared" si="149"/>
        <v>0</v>
      </c>
      <c r="N197" s="359">
        <f t="shared" si="149"/>
        <v>0</v>
      </c>
      <c r="O197" s="359">
        <f t="shared" si="149"/>
        <v>0</v>
      </c>
      <c r="P197" s="359">
        <f t="shared" si="149"/>
        <v>0</v>
      </c>
      <c r="Q197" s="359">
        <f t="shared" si="149"/>
        <v>0</v>
      </c>
      <c r="R197" s="359">
        <f t="shared" si="149"/>
        <v>0</v>
      </c>
      <c r="S197" s="359">
        <f t="shared" si="149"/>
        <v>0</v>
      </c>
      <c r="T197" s="359">
        <f t="shared" si="149"/>
        <v>0</v>
      </c>
      <c r="U197" s="359">
        <f t="shared" si="149"/>
        <v>0</v>
      </c>
      <c r="V197" s="360">
        <f t="shared" si="149"/>
        <v>0</v>
      </c>
      <c r="W197" s="332" t="str">
        <f t="shared" si="150"/>
        <v>true</v>
      </c>
    </row>
    <row r="198" spans="2:23" s="25" customFormat="1" ht="12.75">
      <c r="B198" s="774">
        <f>'App 1_5Yr Revenue'!$E$29/HLOOKUP(C198,'Medic Data'!$G$63:$L$72,2,FALSE)</f>
        <v>0.54660734353779794</v>
      </c>
      <c r="C198" s="47" t="s">
        <v>184</v>
      </c>
      <c r="D198" s="48" t="s">
        <v>168</v>
      </c>
      <c r="E198" s="48" t="str">
        <f t="shared" si="143"/>
        <v>PharmacistsFT</v>
      </c>
      <c r="F198" s="359">
        <v>1</v>
      </c>
      <c r="G198" s="49">
        <v>6</v>
      </c>
      <c r="H198" s="753">
        <f t="shared" si="145"/>
        <v>18750</v>
      </c>
      <c r="I198" s="754">
        <f t="shared" si="146"/>
        <v>18750</v>
      </c>
      <c r="J198" s="755">
        <f t="shared" si="147"/>
        <v>1562.5</v>
      </c>
      <c r="K198" s="533">
        <v>1</v>
      </c>
      <c r="L198" s="359">
        <f t="shared" si="149"/>
        <v>1</v>
      </c>
      <c r="M198" s="359">
        <f t="shared" si="149"/>
        <v>1</v>
      </c>
      <c r="N198" s="359">
        <f t="shared" si="149"/>
        <v>1</v>
      </c>
      <c r="O198" s="359">
        <f t="shared" si="149"/>
        <v>1</v>
      </c>
      <c r="P198" s="359">
        <v>1</v>
      </c>
      <c r="Q198" s="359">
        <f t="shared" si="149"/>
        <v>1</v>
      </c>
      <c r="R198" s="359">
        <f t="shared" si="149"/>
        <v>1</v>
      </c>
      <c r="S198" s="359">
        <f t="shared" si="149"/>
        <v>1</v>
      </c>
      <c r="T198" s="359">
        <f t="shared" si="149"/>
        <v>1</v>
      </c>
      <c r="U198" s="359">
        <f t="shared" si="149"/>
        <v>1</v>
      </c>
      <c r="V198" s="360">
        <f t="shared" si="149"/>
        <v>1</v>
      </c>
      <c r="W198" s="332" t="str">
        <f t="shared" si="150"/>
        <v>true</v>
      </c>
    </row>
    <row r="199" spans="2:23" s="25" customFormat="1" ht="12.75">
      <c r="B199" s="774">
        <v>0</v>
      </c>
      <c r="C199" s="47" t="s">
        <v>183</v>
      </c>
      <c r="D199" s="48" t="s">
        <v>168</v>
      </c>
      <c r="E199" s="48" t="str">
        <f t="shared" si="143"/>
        <v>NursesFT</v>
      </c>
      <c r="F199" s="359">
        <f t="shared" si="151"/>
        <v>0</v>
      </c>
      <c r="G199" s="49">
        <v>0</v>
      </c>
      <c r="H199" s="753">
        <f t="shared" si="145"/>
        <v>0</v>
      </c>
      <c r="I199" s="754">
        <f t="shared" si="146"/>
        <v>3750</v>
      </c>
      <c r="J199" s="755">
        <f t="shared" si="147"/>
        <v>312.5</v>
      </c>
      <c r="K199" s="533">
        <f t="shared" si="148"/>
        <v>0</v>
      </c>
      <c r="L199" s="359">
        <f t="shared" si="149"/>
        <v>0</v>
      </c>
      <c r="M199" s="359">
        <f t="shared" si="149"/>
        <v>0</v>
      </c>
      <c r="N199" s="359">
        <f t="shared" si="149"/>
        <v>0</v>
      </c>
      <c r="O199" s="359">
        <f t="shared" si="149"/>
        <v>0</v>
      </c>
      <c r="P199" s="359">
        <f t="shared" si="149"/>
        <v>0</v>
      </c>
      <c r="Q199" s="359">
        <f t="shared" si="149"/>
        <v>0</v>
      </c>
      <c r="R199" s="359">
        <f t="shared" si="149"/>
        <v>0</v>
      </c>
      <c r="S199" s="359">
        <f t="shared" si="149"/>
        <v>0</v>
      </c>
      <c r="T199" s="359">
        <f t="shared" si="149"/>
        <v>0</v>
      </c>
      <c r="U199" s="359">
        <f t="shared" si="149"/>
        <v>0</v>
      </c>
      <c r="V199" s="360">
        <f t="shared" si="149"/>
        <v>0</v>
      </c>
      <c r="W199" s="332" t="str">
        <f t="shared" si="150"/>
        <v>true</v>
      </c>
    </row>
    <row r="200" spans="2:23" s="25" customFormat="1" ht="12.75">
      <c r="B200" s="774">
        <f>'App 1_5Yr Revenue'!$E$29/HLOOKUP(C200,'Medic Data'!$G$63:$L$72,2,FALSE)</f>
        <v>0.54660734353779794</v>
      </c>
      <c r="C200" s="47" t="s">
        <v>185</v>
      </c>
      <c r="D200" s="48" t="s">
        <v>168</v>
      </c>
      <c r="E200" s="48" t="str">
        <f t="shared" si="143"/>
        <v>EngineersFT</v>
      </c>
      <c r="F200" s="359">
        <f t="shared" si="151"/>
        <v>1</v>
      </c>
      <c r="G200" s="49">
        <v>6</v>
      </c>
      <c r="H200" s="753">
        <f t="shared" si="145"/>
        <v>8750</v>
      </c>
      <c r="I200" s="754">
        <f t="shared" si="146"/>
        <v>8750</v>
      </c>
      <c r="J200" s="755">
        <f t="shared" si="147"/>
        <v>729.16666666666663</v>
      </c>
      <c r="K200" s="533">
        <f t="shared" si="148"/>
        <v>1</v>
      </c>
      <c r="L200" s="359">
        <f t="shared" si="149"/>
        <v>1</v>
      </c>
      <c r="M200" s="359">
        <f t="shared" si="149"/>
        <v>1</v>
      </c>
      <c r="N200" s="359">
        <f t="shared" si="149"/>
        <v>1</v>
      </c>
      <c r="O200" s="359">
        <f t="shared" si="149"/>
        <v>1</v>
      </c>
      <c r="P200" s="359">
        <f t="shared" si="149"/>
        <v>1</v>
      </c>
      <c r="Q200" s="359">
        <f t="shared" si="149"/>
        <v>1</v>
      </c>
      <c r="R200" s="359">
        <f t="shared" si="149"/>
        <v>1</v>
      </c>
      <c r="S200" s="359">
        <f t="shared" si="149"/>
        <v>1</v>
      </c>
      <c r="T200" s="359">
        <f t="shared" si="149"/>
        <v>1</v>
      </c>
      <c r="U200" s="359">
        <f t="shared" si="149"/>
        <v>1</v>
      </c>
      <c r="V200" s="360">
        <f t="shared" si="149"/>
        <v>1</v>
      </c>
      <c r="W200" s="332" t="str">
        <f t="shared" si="150"/>
        <v>true</v>
      </c>
    </row>
    <row r="201" spans="2:23" s="25" customFormat="1" ht="12.75">
      <c r="B201" s="774">
        <f>'App 1_5Yr Revenue'!$E$29/HLOOKUP(C201,'Medic Data'!$G$63:$L$72,2,FALSE)</f>
        <v>3.1885428373038214</v>
      </c>
      <c r="C201" s="47" t="s">
        <v>186</v>
      </c>
      <c r="D201" s="48" t="s">
        <v>168</v>
      </c>
      <c r="E201" s="48" t="str">
        <f t="shared" si="143"/>
        <v>TechniciansFT</v>
      </c>
      <c r="F201" s="359">
        <v>5</v>
      </c>
      <c r="G201" s="49">
        <v>35</v>
      </c>
      <c r="H201" s="753">
        <f t="shared" si="145"/>
        <v>35000</v>
      </c>
      <c r="I201" s="754">
        <f t="shared" si="146"/>
        <v>8750</v>
      </c>
      <c r="J201" s="755">
        <f t="shared" si="147"/>
        <v>729.16666666666663</v>
      </c>
      <c r="K201" s="533">
        <v>3</v>
      </c>
      <c r="L201" s="359">
        <f>K201</f>
        <v>3</v>
      </c>
      <c r="M201" s="359">
        <f>L201</f>
        <v>3</v>
      </c>
      <c r="N201" s="359">
        <v>3</v>
      </c>
      <c r="O201" s="359">
        <f>N201</f>
        <v>3</v>
      </c>
      <c r="P201" s="359">
        <f t="shared" si="149"/>
        <v>3</v>
      </c>
      <c r="Q201" s="359">
        <v>5</v>
      </c>
      <c r="R201" s="359">
        <f t="shared" si="149"/>
        <v>5</v>
      </c>
      <c r="S201" s="359">
        <f t="shared" si="149"/>
        <v>5</v>
      </c>
      <c r="T201" s="359">
        <f t="shared" si="149"/>
        <v>5</v>
      </c>
      <c r="U201" s="359">
        <f t="shared" si="149"/>
        <v>5</v>
      </c>
      <c r="V201" s="360">
        <f t="shared" si="149"/>
        <v>5</v>
      </c>
      <c r="W201" s="332" t="str">
        <f t="shared" si="150"/>
        <v>true</v>
      </c>
    </row>
    <row r="202" spans="2:23" s="25" customFormat="1" ht="12.75">
      <c r="B202" s="774">
        <f>'App 1_5Yr Revenue'!$E$29/HLOOKUP(C202,'Medic Data'!$G$63:$L$72,2,FALSE)</f>
        <v>0.54660734353779794</v>
      </c>
      <c r="C202" s="47" t="s">
        <v>198</v>
      </c>
      <c r="D202" s="48" t="s">
        <v>168</v>
      </c>
      <c r="E202" s="48" t="str">
        <f t="shared" si="143"/>
        <v>OthersFT</v>
      </c>
      <c r="F202" s="359">
        <f t="shared" si="151"/>
        <v>1</v>
      </c>
      <c r="G202" s="49">
        <v>6</v>
      </c>
      <c r="H202" s="753">
        <f t="shared" si="145"/>
        <v>1250</v>
      </c>
      <c r="I202" s="754">
        <f t="shared" si="146"/>
        <v>1250</v>
      </c>
      <c r="J202" s="755">
        <f t="shared" si="147"/>
        <v>104.16666666666667</v>
      </c>
      <c r="K202" s="533">
        <v>1</v>
      </c>
      <c r="L202" s="359">
        <f>K202</f>
        <v>1</v>
      </c>
      <c r="M202" s="359">
        <f>L202</f>
        <v>1</v>
      </c>
      <c r="N202" s="359">
        <f t="shared" ref="N202:O202" si="152">M202</f>
        <v>1</v>
      </c>
      <c r="O202" s="359">
        <f t="shared" si="152"/>
        <v>1</v>
      </c>
      <c r="P202" s="359">
        <f t="shared" si="149"/>
        <v>1</v>
      </c>
      <c r="Q202" s="359">
        <v>1</v>
      </c>
      <c r="R202" s="359">
        <f t="shared" si="149"/>
        <v>1</v>
      </c>
      <c r="S202" s="359">
        <f t="shared" si="149"/>
        <v>1</v>
      </c>
      <c r="T202" s="359">
        <f t="shared" si="149"/>
        <v>1</v>
      </c>
      <c r="U202" s="359">
        <f t="shared" si="149"/>
        <v>1</v>
      </c>
      <c r="V202" s="360">
        <f t="shared" si="149"/>
        <v>1</v>
      </c>
      <c r="W202" s="332" t="str">
        <f t="shared" si="150"/>
        <v>true</v>
      </c>
    </row>
    <row r="203" spans="2:23" s="25" customFormat="1" ht="7.5" customHeight="1">
      <c r="B203" s="128"/>
      <c r="C203" s="47"/>
      <c r="D203" s="48"/>
      <c r="E203" s="48" t="str">
        <f t="shared" si="143"/>
        <v/>
      </c>
      <c r="F203" s="51"/>
      <c r="G203" s="49"/>
      <c r="H203" s="201"/>
      <c r="I203" s="754"/>
      <c r="J203" s="737"/>
      <c r="K203" s="572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368"/>
      <c r="W203" s="332"/>
    </row>
    <row r="204" spans="2:23" s="25" customFormat="1" ht="12.75">
      <c r="B204" s="128"/>
      <c r="C204" s="497" t="s">
        <v>187</v>
      </c>
      <c r="D204" s="48"/>
      <c r="E204" s="48"/>
      <c r="F204" s="51"/>
      <c r="G204" s="49"/>
      <c r="H204" s="201"/>
      <c r="I204" s="754"/>
      <c r="J204" s="737"/>
      <c r="K204" s="572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368"/>
      <c r="W204" s="332"/>
    </row>
    <row r="205" spans="2:23" s="25" customFormat="1" ht="12.75">
      <c r="B205" s="128"/>
      <c r="C205" s="498" t="s">
        <v>188</v>
      </c>
      <c r="D205" s="48"/>
      <c r="E205" s="48"/>
      <c r="F205" s="51"/>
      <c r="G205" s="49"/>
      <c r="H205" s="201"/>
      <c r="I205" s="754"/>
      <c r="J205" s="737"/>
      <c r="K205" s="572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368"/>
      <c r="W205" s="332"/>
    </row>
    <row r="206" spans="2:23" s="25" customFormat="1" ht="12.75">
      <c r="B206" s="774">
        <f>VLOOKUP('App 2_12M Revenue'!$B$127,'App 2_12M Revenue'!$B$127:$R$133, 17,FALSE)/HLOOKUP(C206,'Medic Data'!$G$63:$L$71,3,FALSE)</f>
        <v>0.24133886044022185</v>
      </c>
      <c r="C206" s="47" t="s">
        <v>181</v>
      </c>
      <c r="D206" s="48" t="s">
        <v>168</v>
      </c>
      <c r="E206" s="48" t="str">
        <f t="shared" si="143"/>
        <v>DoctorsFT</v>
      </c>
      <c r="F206" s="359">
        <f t="shared" ref="F206:F215" si="153">ROUNDUP(B206,0)</f>
        <v>1</v>
      </c>
      <c r="G206" s="49">
        <v>5</v>
      </c>
      <c r="H206" s="753">
        <f t="shared" ref="H206:H234" si="154">J206*SUM(K206:V206)</f>
        <v>31250</v>
      </c>
      <c r="I206" s="754">
        <f>VLOOKUP(E206,$E$35:$I$56,3,FALSE)</f>
        <v>31250</v>
      </c>
      <c r="J206" s="755">
        <f t="shared" ref="J206:J210" si="155">I206/12</f>
        <v>2604.1666666666665</v>
      </c>
      <c r="K206" s="533">
        <f t="shared" ref="K206:K209" si="156">F206</f>
        <v>1</v>
      </c>
      <c r="L206" s="359">
        <f t="shared" ref="L206:V216" si="157">K206</f>
        <v>1</v>
      </c>
      <c r="M206" s="359">
        <f t="shared" si="157"/>
        <v>1</v>
      </c>
      <c r="N206" s="359">
        <f t="shared" si="157"/>
        <v>1</v>
      </c>
      <c r="O206" s="359">
        <f t="shared" si="157"/>
        <v>1</v>
      </c>
      <c r="P206" s="359">
        <f t="shared" si="157"/>
        <v>1</v>
      </c>
      <c r="Q206" s="359">
        <f t="shared" si="157"/>
        <v>1</v>
      </c>
      <c r="R206" s="359">
        <f t="shared" si="157"/>
        <v>1</v>
      </c>
      <c r="S206" s="359">
        <f t="shared" si="157"/>
        <v>1</v>
      </c>
      <c r="T206" s="359">
        <f t="shared" si="157"/>
        <v>1</v>
      </c>
      <c r="U206" s="359">
        <f t="shared" si="157"/>
        <v>1</v>
      </c>
      <c r="V206" s="360">
        <f t="shared" si="157"/>
        <v>1</v>
      </c>
      <c r="W206" s="332" t="str">
        <f t="shared" ref="W206:W234" si="158">IF(V206-F206=0,"true","false")</f>
        <v>true</v>
      </c>
    </row>
    <row r="207" spans="2:23" s="25" customFormat="1" ht="12.75">
      <c r="B207" s="128"/>
      <c r="C207" s="47" t="s">
        <v>181</v>
      </c>
      <c r="D207" s="48" t="s">
        <v>182</v>
      </c>
      <c r="E207" s="48" t="str">
        <f t="shared" si="143"/>
        <v>DoctorsPT</v>
      </c>
      <c r="F207" s="359">
        <v>0</v>
      </c>
      <c r="G207" s="49" t="s">
        <v>189</v>
      </c>
      <c r="H207" s="753">
        <f t="shared" si="154"/>
        <v>0</v>
      </c>
      <c r="I207" s="754">
        <f>VLOOKUP(E207,$E$35:$I$56,3,FALSE)</f>
        <v>15000</v>
      </c>
      <c r="J207" s="755">
        <f t="shared" si="155"/>
        <v>1250</v>
      </c>
      <c r="K207" s="533">
        <f t="shared" si="156"/>
        <v>0</v>
      </c>
      <c r="L207" s="359">
        <f t="shared" si="157"/>
        <v>0</v>
      </c>
      <c r="M207" s="359">
        <f t="shared" si="157"/>
        <v>0</v>
      </c>
      <c r="N207" s="359">
        <f t="shared" si="157"/>
        <v>0</v>
      </c>
      <c r="O207" s="359">
        <f t="shared" si="157"/>
        <v>0</v>
      </c>
      <c r="P207" s="359">
        <f t="shared" si="157"/>
        <v>0</v>
      </c>
      <c r="Q207" s="359">
        <f t="shared" si="157"/>
        <v>0</v>
      </c>
      <c r="R207" s="359">
        <f t="shared" si="157"/>
        <v>0</v>
      </c>
      <c r="S207" s="359">
        <f t="shared" si="157"/>
        <v>0</v>
      </c>
      <c r="T207" s="359">
        <f t="shared" si="157"/>
        <v>0</v>
      </c>
      <c r="U207" s="359">
        <f t="shared" si="157"/>
        <v>0</v>
      </c>
      <c r="V207" s="360">
        <f t="shared" si="157"/>
        <v>0</v>
      </c>
      <c r="W207" s="332" t="str">
        <f t="shared" si="158"/>
        <v>true</v>
      </c>
    </row>
    <row r="208" spans="2:23" s="25" customFormat="1" ht="12.75">
      <c r="B208" s="774">
        <f>VLOOKUP('App 2_12M Revenue'!$B$127,'App 2_12M Revenue'!$B$127:$R$133, 17,FALSE)/HLOOKUP(C208,'Medic Data'!$G$63:$L$71,3,FALSE)</f>
        <v>0.14480331626413312</v>
      </c>
      <c r="C208" s="47" t="s">
        <v>183</v>
      </c>
      <c r="D208" s="48" t="s">
        <v>168</v>
      </c>
      <c r="E208" s="48" t="str">
        <f t="shared" si="143"/>
        <v>NursesFT</v>
      </c>
      <c r="F208" s="359">
        <f t="shared" si="153"/>
        <v>1</v>
      </c>
      <c r="G208" s="49">
        <v>3</v>
      </c>
      <c r="H208" s="753">
        <f t="shared" si="154"/>
        <v>3750</v>
      </c>
      <c r="I208" s="754">
        <f>VLOOKUP(E208,$E$35:$I$56,3,FALSE)</f>
        <v>3750</v>
      </c>
      <c r="J208" s="755">
        <f t="shared" si="155"/>
        <v>312.5</v>
      </c>
      <c r="K208" s="533">
        <f t="shared" si="156"/>
        <v>1</v>
      </c>
      <c r="L208" s="359">
        <f t="shared" si="157"/>
        <v>1</v>
      </c>
      <c r="M208" s="359">
        <f t="shared" si="157"/>
        <v>1</v>
      </c>
      <c r="N208" s="359">
        <f t="shared" si="157"/>
        <v>1</v>
      </c>
      <c r="O208" s="359">
        <f t="shared" si="157"/>
        <v>1</v>
      </c>
      <c r="P208" s="359">
        <f t="shared" si="157"/>
        <v>1</v>
      </c>
      <c r="Q208" s="359">
        <f t="shared" si="157"/>
        <v>1</v>
      </c>
      <c r="R208" s="359">
        <f t="shared" si="157"/>
        <v>1</v>
      </c>
      <c r="S208" s="359">
        <f t="shared" si="157"/>
        <v>1</v>
      </c>
      <c r="T208" s="359">
        <f t="shared" si="157"/>
        <v>1</v>
      </c>
      <c r="U208" s="359">
        <f t="shared" si="157"/>
        <v>1</v>
      </c>
      <c r="V208" s="360">
        <f t="shared" si="157"/>
        <v>1</v>
      </c>
      <c r="W208" s="332" t="str">
        <f t="shared" si="158"/>
        <v>true</v>
      </c>
    </row>
    <row r="209" spans="2:23" s="25" customFormat="1" ht="12.75">
      <c r="B209" s="774">
        <f>VLOOKUP('App 2_12M Revenue'!$B$127,'App 2_12M Revenue'!$B$127:$R$133, 17,FALSE)/HLOOKUP(C209,'Medic Data'!$G$63:$L$71,3,FALSE)</f>
        <v>0.48267772088044369</v>
      </c>
      <c r="C209" s="47" t="s">
        <v>186</v>
      </c>
      <c r="D209" s="48" t="s">
        <v>168</v>
      </c>
      <c r="E209" s="48" t="str">
        <f t="shared" si="143"/>
        <v>TechniciansFT</v>
      </c>
      <c r="F209" s="359">
        <v>2</v>
      </c>
      <c r="G209" s="49">
        <v>10</v>
      </c>
      <c r="H209" s="753">
        <f t="shared" si="154"/>
        <v>17500</v>
      </c>
      <c r="I209" s="754">
        <f>VLOOKUP(E209,$E$35:$I$56,3,FALSE)</f>
        <v>8750</v>
      </c>
      <c r="J209" s="755">
        <f t="shared" si="155"/>
        <v>729.16666666666663</v>
      </c>
      <c r="K209" s="533">
        <f t="shared" si="156"/>
        <v>2</v>
      </c>
      <c r="L209" s="359">
        <f t="shared" si="157"/>
        <v>2</v>
      </c>
      <c r="M209" s="359">
        <f t="shared" si="157"/>
        <v>2</v>
      </c>
      <c r="N209" s="359">
        <f t="shared" si="157"/>
        <v>2</v>
      </c>
      <c r="O209" s="359">
        <f t="shared" si="157"/>
        <v>2</v>
      </c>
      <c r="P209" s="359">
        <f t="shared" si="157"/>
        <v>2</v>
      </c>
      <c r="Q209" s="359">
        <f t="shared" si="157"/>
        <v>2</v>
      </c>
      <c r="R209" s="359">
        <f t="shared" si="157"/>
        <v>2</v>
      </c>
      <c r="S209" s="359">
        <f t="shared" si="157"/>
        <v>2</v>
      </c>
      <c r="T209" s="359">
        <f t="shared" si="157"/>
        <v>2</v>
      </c>
      <c r="U209" s="359">
        <f t="shared" si="157"/>
        <v>2</v>
      </c>
      <c r="V209" s="360">
        <f t="shared" si="157"/>
        <v>2</v>
      </c>
      <c r="W209" s="332" t="str">
        <f t="shared" si="158"/>
        <v>true</v>
      </c>
    </row>
    <row r="210" spans="2:23" s="25" customFormat="1" ht="12.75">
      <c r="B210" s="774">
        <f>VLOOKUP('App 2_12M Revenue'!$B$127,'App 2_12M Revenue'!$B$127:$R$133, 17,FALSE)/HLOOKUP(C210,'Medic Data'!$G$63:$L$71,3,FALSE)</f>
        <v>0.38614217670435497</v>
      </c>
      <c r="C210" s="47" t="s">
        <v>198</v>
      </c>
      <c r="D210" s="48" t="s">
        <v>168</v>
      </c>
      <c r="E210" s="48" t="str">
        <f t="shared" si="143"/>
        <v>OthersFT</v>
      </c>
      <c r="F210" s="359">
        <v>0</v>
      </c>
      <c r="G210" s="49">
        <v>8</v>
      </c>
      <c r="H210" s="753">
        <f t="shared" si="154"/>
        <v>0</v>
      </c>
      <c r="I210" s="754">
        <f>VLOOKUP(E210,$E$35:$I$56,3,FALSE)</f>
        <v>1250</v>
      </c>
      <c r="J210" s="755">
        <f t="shared" si="155"/>
        <v>104.16666666666667</v>
      </c>
      <c r="K210" s="533">
        <v>0</v>
      </c>
      <c r="L210" s="359">
        <f t="shared" si="157"/>
        <v>0</v>
      </c>
      <c r="M210" s="359">
        <f t="shared" si="157"/>
        <v>0</v>
      </c>
      <c r="N210" s="359">
        <f t="shared" si="157"/>
        <v>0</v>
      </c>
      <c r="O210" s="359">
        <f t="shared" si="157"/>
        <v>0</v>
      </c>
      <c r="P210" s="359">
        <v>0</v>
      </c>
      <c r="Q210" s="359">
        <v>0</v>
      </c>
      <c r="R210" s="359">
        <f t="shared" si="157"/>
        <v>0</v>
      </c>
      <c r="S210" s="359">
        <f t="shared" si="157"/>
        <v>0</v>
      </c>
      <c r="T210" s="359">
        <f t="shared" si="157"/>
        <v>0</v>
      </c>
      <c r="U210" s="359">
        <f t="shared" si="157"/>
        <v>0</v>
      </c>
      <c r="V210" s="360">
        <f t="shared" si="157"/>
        <v>0</v>
      </c>
      <c r="W210" s="332" t="str">
        <f t="shared" si="158"/>
        <v>true</v>
      </c>
    </row>
    <row r="211" spans="2:23" s="25" customFormat="1" ht="12.75">
      <c r="B211" s="128"/>
      <c r="C211" s="498" t="s">
        <v>26</v>
      </c>
      <c r="D211" s="48"/>
      <c r="E211" s="48"/>
      <c r="F211" s="51"/>
      <c r="G211" s="49"/>
      <c r="H211" s="753"/>
      <c r="I211" s="754"/>
      <c r="J211" s="737"/>
      <c r="K211" s="572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368"/>
      <c r="W211" s="332"/>
    </row>
    <row r="212" spans="2:23" s="25" customFormat="1" ht="12.75">
      <c r="B212" s="774">
        <f>VLOOKUP('App 2_12M Revenue'!$B$128,'App 2_12M Revenue'!$B$127:$R$133, 17,FALSE)/HLOOKUP(C212,'Medic Data'!$G$63:$L$71,5,FALSE)</f>
        <v>0.71199469041393482</v>
      </c>
      <c r="C212" s="47" t="s">
        <v>181</v>
      </c>
      <c r="D212" s="48" t="s">
        <v>168</v>
      </c>
      <c r="E212" s="48" t="str">
        <f t="shared" si="143"/>
        <v>DoctorsFT</v>
      </c>
      <c r="F212" s="359">
        <f t="shared" si="153"/>
        <v>1</v>
      </c>
      <c r="G212" s="49">
        <v>5</v>
      </c>
      <c r="H212" s="753">
        <f t="shared" si="154"/>
        <v>31250</v>
      </c>
      <c r="I212" s="754">
        <f>VLOOKUP(E212,$E$35:$I$56,3,FALSE)</f>
        <v>31250</v>
      </c>
      <c r="J212" s="755">
        <f t="shared" ref="J212:J234" si="159">I212/12</f>
        <v>2604.1666666666665</v>
      </c>
      <c r="K212" s="533">
        <f t="shared" ref="K212:K216" si="160">F212</f>
        <v>1</v>
      </c>
      <c r="L212" s="359">
        <f t="shared" si="157"/>
        <v>1</v>
      </c>
      <c r="M212" s="359">
        <f t="shared" si="157"/>
        <v>1</v>
      </c>
      <c r="N212" s="359">
        <f t="shared" si="157"/>
        <v>1</v>
      </c>
      <c r="O212" s="359">
        <f t="shared" si="157"/>
        <v>1</v>
      </c>
      <c r="P212" s="359">
        <f t="shared" si="157"/>
        <v>1</v>
      </c>
      <c r="Q212" s="359">
        <f t="shared" si="157"/>
        <v>1</v>
      </c>
      <c r="R212" s="359">
        <f t="shared" si="157"/>
        <v>1</v>
      </c>
      <c r="S212" s="359">
        <f t="shared" si="157"/>
        <v>1</v>
      </c>
      <c r="T212" s="359">
        <f t="shared" si="157"/>
        <v>1</v>
      </c>
      <c r="U212" s="359">
        <f t="shared" si="157"/>
        <v>1</v>
      </c>
      <c r="V212" s="360">
        <f t="shared" si="157"/>
        <v>1</v>
      </c>
      <c r="W212" s="332" t="str">
        <f t="shared" si="158"/>
        <v>true</v>
      </c>
    </row>
    <row r="213" spans="2:23" s="25" customFormat="1" ht="12.75">
      <c r="B213" s="128"/>
      <c r="C213" s="47" t="s">
        <v>181</v>
      </c>
      <c r="D213" s="48" t="s">
        <v>182</v>
      </c>
      <c r="E213" s="48" t="str">
        <f t="shared" si="143"/>
        <v>DoctorsPT</v>
      </c>
      <c r="F213" s="359">
        <v>1</v>
      </c>
      <c r="G213" s="49" t="s">
        <v>189</v>
      </c>
      <c r="H213" s="753">
        <f t="shared" si="154"/>
        <v>15000</v>
      </c>
      <c r="I213" s="754">
        <f>VLOOKUP(E213,$E$35:$I$56,3,FALSE)</f>
        <v>15000</v>
      </c>
      <c r="J213" s="755">
        <f t="shared" si="159"/>
        <v>1250</v>
      </c>
      <c r="K213" s="533">
        <f t="shared" si="160"/>
        <v>1</v>
      </c>
      <c r="L213" s="359">
        <f t="shared" si="157"/>
        <v>1</v>
      </c>
      <c r="M213" s="359">
        <f t="shared" si="157"/>
        <v>1</v>
      </c>
      <c r="N213" s="359">
        <f t="shared" si="157"/>
        <v>1</v>
      </c>
      <c r="O213" s="359">
        <f t="shared" si="157"/>
        <v>1</v>
      </c>
      <c r="P213" s="359">
        <f t="shared" si="157"/>
        <v>1</v>
      </c>
      <c r="Q213" s="359">
        <f t="shared" si="157"/>
        <v>1</v>
      </c>
      <c r="R213" s="359">
        <f t="shared" si="157"/>
        <v>1</v>
      </c>
      <c r="S213" s="359">
        <f t="shared" si="157"/>
        <v>1</v>
      </c>
      <c r="T213" s="359">
        <f t="shared" si="157"/>
        <v>1</v>
      </c>
      <c r="U213" s="359">
        <f t="shared" si="157"/>
        <v>1</v>
      </c>
      <c r="V213" s="360">
        <f t="shared" si="157"/>
        <v>1</v>
      </c>
      <c r="W213" s="332" t="str">
        <f t="shared" si="158"/>
        <v>true</v>
      </c>
    </row>
    <row r="214" spans="2:23" s="25" customFormat="1" ht="12.75">
      <c r="B214" s="774">
        <f>VLOOKUP('App 2_12M Revenue'!$B$128,'App 2_12M Revenue'!$B$127:$R$133, 17,FALSE)/HLOOKUP(C214,'Medic Data'!$G$63:$L$71,5,FALSE)</f>
        <v>0.55377364809972707</v>
      </c>
      <c r="C214" s="47" t="s">
        <v>183</v>
      </c>
      <c r="D214" s="48" t="s">
        <v>168</v>
      </c>
      <c r="E214" s="48" t="str">
        <f t="shared" si="143"/>
        <v>NursesFT</v>
      </c>
      <c r="F214" s="359">
        <v>3</v>
      </c>
      <c r="G214" s="49">
        <v>25</v>
      </c>
      <c r="H214" s="753">
        <f t="shared" si="154"/>
        <v>9687.5</v>
      </c>
      <c r="I214" s="754">
        <f>VLOOKUP(E214,$E$35:$I$56,3,FALSE)</f>
        <v>3750</v>
      </c>
      <c r="J214" s="755">
        <f t="shared" si="159"/>
        <v>312.5</v>
      </c>
      <c r="K214" s="533">
        <v>2</v>
      </c>
      <c r="L214" s="359">
        <f t="shared" si="157"/>
        <v>2</v>
      </c>
      <c r="M214" s="359">
        <f t="shared" si="157"/>
        <v>2</v>
      </c>
      <c r="N214" s="359">
        <f t="shared" si="157"/>
        <v>2</v>
      </c>
      <c r="O214" s="359">
        <f t="shared" si="157"/>
        <v>2</v>
      </c>
      <c r="P214" s="359">
        <v>3</v>
      </c>
      <c r="Q214" s="359">
        <v>3</v>
      </c>
      <c r="R214" s="359">
        <v>3</v>
      </c>
      <c r="S214" s="359">
        <f t="shared" si="157"/>
        <v>3</v>
      </c>
      <c r="T214" s="359">
        <f t="shared" si="157"/>
        <v>3</v>
      </c>
      <c r="U214" s="359">
        <f t="shared" si="157"/>
        <v>3</v>
      </c>
      <c r="V214" s="360">
        <f t="shared" si="157"/>
        <v>3</v>
      </c>
      <c r="W214" s="332" t="str">
        <f t="shared" si="158"/>
        <v>true</v>
      </c>
    </row>
    <row r="215" spans="2:23" s="25" customFormat="1" ht="12.75">
      <c r="B215" s="774">
        <f>VLOOKUP('App 2_12M Revenue'!$B$128,'App 2_12M Revenue'!$B$127:$R$133, 17,FALSE)/HLOOKUP(C215,'Medic Data'!$G$63:$L$71,5,FALSE)</f>
        <v>0.15822104231420775</v>
      </c>
      <c r="C215" s="47" t="s">
        <v>186</v>
      </c>
      <c r="D215" s="48" t="s">
        <v>168</v>
      </c>
      <c r="E215" s="48" t="str">
        <f t="shared" si="143"/>
        <v>TechniciansFT</v>
      </c>
      <c r="F215" s="359">
        <f t="shared" si="153"/>
        <v>1</v>
      </c>
      <c r="G215" s="49">
        <v>2</v>
      </c>
      <c r="H215" s="753">
        <f t="shared" si="154"/>
        <v>8750</v>
      </c>
      <c r="I215" s="754">
        <f>VLOOKUP(E215,$E$35:$I$56,3,FALSE)</f>
        <v>8750</v>
      </c>
      <c r="J215" s="755">
        <f t="shared" si="159"/>
        <v>729.16666666666663</v>
      </c>
      <c r="K215" s="533">
        <f t="shared" si="160"/>
        <v>1</v>
      </c>
      <c r="L215" s="359">
        <f t="shared" si="157"/>
        <v>1</v>
      </c>
      <c r="M215" s="359">
        <f t="shared" si="157"/>
        <v>1</v>
      </c>
      <c r="N215" s="359">
        <f t="shared" si="157"/>
        <v>1</v>
      </c>
      <c r="O215" s="359">
        <f t="shared" si="157"/>
        <v>1</v>
      </c>
      <c r="P215" s="359">
        <f t="shared" si="157"/>
        <v>1</v>
      </c>
      <c r="Q215" s="359">
        <f t="shared" si="157"/>
        <v>1</v>
      </c>
      <c r="R215" s="359">
        <f t="shared" si="157"/>
        <v>1</v>
      </c>
      <c r="S215" s="359">
        <f t="shared" si="157"/>
        <v>1</v>
      </c>
      <c r="T215" s="359">
        <f t="shared" si="157"/>
        <v>1</v>
      </c>
      <c r="U215" s="359">
        <f t="shared" si="157"/>
        <v>1</v>
      </c>
      <c r="V215" s="360">
        <f t="shared" si="157"/>
        <v>1</v>
      </c>
      <c r="W215" s="332" t="str">
        <f t="shared" si="158"/>
        <v>true</v>
      </c>
    </row>
    <row r="216" spans="2:23" s="25" customFormat="1" ht="12.75">
      <c r="B216" s="774">
        <f>VLOOKUP('App 2_12M Revenue'!$B$128,'App 2_12M Revenue'!$B$127:$R$133, 17,FALSE)/HLOOKUP(C216,'Medic Data'!$G$63:$L$71,5,FALSE)</f>
        <v>0.3164420846284155</v>
      </c>
      <c r="C216" s="47" t="s">
        <v>198</v>
      </c>
      <c r="D216" s="48" t="s">
        <v>168</v>
      </c>
      <c r="E216" s="48" t="str">
        <f t="shared" si="143"/>
        <v>OthersFT</v>
      </c>
      <c r="F216" s="359">
        <v>1</v>
      </c>
      <c r="G216" s="49">
        <v>2</v>
      </c>
      <c r="H216" s="753">
        <f t="shared" si="154"/>
        <v>1250</v>
      </c>
      <c r="I216" s="754">
        <f>VLOOKUP(E216,$E$35:$I$56,3,FALSE)</f>
        <v>1250</v>
      </c>
      <c r="J216" s="755">
        <f t="shared" si="159"/>
        <v>104.16666666666667</v>
      </c>
      <c r="K216" s="533">
        <f t="shared" si="160"/>
        <v>1</v>
      </c>
      <c r="L216" s="359">
        <f t="shared" si="157"/>
        <v>1</v>
      </c>
      <c r="M216" s="359">
        <f t="shared" si="157"/>
        <v>1</v>
      </c>
      <c r="N216" s="359">
        <f t="shared" si="157"/>
        <v>1</v>
      </c>
      <c r="O216" s="359">
        <f t="shared" si="157"/>
        <v>1</v>
      </c>
      <c r="P216" s="359">
        <f t="shared" si="157"/>
        <v>1</v>
      </c>
      <c r="Q216" s="359">
        <f t="shared" si="157"/>
        <v>1</v>
      </c>
      <c r="R216" s="359">
        <f t="shared" si="157"/>
        <v>1</v>
      </c>
      <c r="S216" s="359">
        <f t="shared" si="157"/>
        <v>1</v>
      </c>
      <c r="T216" s="359">
        <f t="shared" si="157"/>
        <v>1</v>
      </c>
      <c r="U216" s="359">
        <f t="shared" si="157"/>
        <v>1</v>
      </c>
      <c r="V216" s="360">
        <f t="shared" si="157"/>
        <v>1</v>
      </c>
      <c r="W216" s="332" t="str">
        <f t="shared" si="158"/>
        <v>true</v>
      </c>
    </row>
    <row r="217" spans="2:23" s="25" customFormat="1" ht="12.75">
      <c r="B217" s="128"/>
      <c r="C217" s="498" t="s">
        <v>64</v>
      </c>
      <c r="D217" s="48"/>
      <c r="E217" s="48"/>
      <c r="F217" s="51"/>
      <c r="G217" s="49"/>
      <c r="H217" s="753"/>
      <c r="I217" s="754"/>
      <c r="J217" s="737"/>
      <c r="K217" s="572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368"/>
      <c r="W217" s="332"/>
    </row>
    <row r="218" spans="2:23" s="25" customFormat="1" ht="12.75">
      <c r="B218" s="128"/>
      <c r="C218" s="47" t="s">
        <v>181</v>
      </c>
      <c r="D218" s="48" t="s">
        <v>168</v>
      </c>
      <c r="E218" s="48" t="str">
        <f t="shared" si="143"/>
        <v>DoctorsFT</v>
      </c>
      <c r="F218" s="359">
        <v>1</v>
      </c>
      <c r="G218" s="49">
        <v>9</v>
      </c>
      <c r="H218" s="753">
        <f t="shared" si="154"/>
        <v>31250</v>
      </c>
      <c r="I218" s="754">
        <f>VLOOKUP(E218,$E$35:$I$56,3,FALSE)</f>
        <v>31250</v>
      </c>
      <c r="J218" s="755">
        <f t="shared" si="159"/>
        <v>2604.1666666666665</v>
      </c>
      <c r="K218" s="533">
        <f t="shared" ref="K218:K222" si="161">F218</f>
        <v>1</v>
      </c>
      <c r="L218" s="359">
        <f t="shared" ref="L218:V222" si="162">K218</f>
        <v>1</v>
      </c>
      <c r="M218" s="359">
        <f t="shared" si="162"/>
        <v>1</v>
      </c>
      <c r="N218" s="359">
        <f t="shared" si="162"/>
        <v>1</v>
      </c>
      <c r="O218" s="359">
        <f t="shared" si="162"/>
        <v>1</v>
      </c>
      <c r="P218" s="359">
        <f t="shared" si="162"/>
        <v>1</v>
      </c>
      <c r="Q218" s="359">
        <f t="shared" si="162"/>
        <v>1</v>
      </c>
      <c r="R218" s="359">
        <f t="shared" si="162"/>
        <v>1</v>
      </c>
      <c r="S218" s="359">
        <f t="shared" si="162"/>
        <v>1</v>
      </c>
      <c r="T218" s="359">
        <f t="shared" si="162"/>
        <v>1</v>
      </c>
      <c r="U218" s="359">
        <f t="shared" si="162"/>
        <v>1</v>
      </c>
      <c r="V218" s="360">
        <f t="shared" si="162"/>
        <v>1</v>
      </c>
      <c r="W218" s="332" t="str">
        <f t="shared" si="158"/>
        <v>true</v>
      </c>
    </row>
    <row r="219" spans="2:23" s="25" customFormat="1" ht="12.75">
      <c r="B219" s="128"/>
      <c r="C219" s="47" t="s">
        <v>181</v>
      </c>
      <c r="D219" s="48" t="s">
        <v>182</v>
      </c>
      <c r="E219" s="48" t="str">
        <f t="shared" si="143"/>
        <v>DoctorsPT</v>
      </c>
      <c r="F219" s="359">
        <v>1</v>
      </c>
      <c r="G219" s="49" t="s">
        <v>189</v>
      </c>
      <c r="H219" s="753">
        <f t="shared" si="154"/>
        <v>12500</v>
      </c>
      <c r="I219" s="754">
        <f>VLOOKUP(E219,$E$35:$I$56,3,FALSE)</f>
        <v>15000</v>
      </c>
      <c r="J219" s="755">
        <f t="shared" si="159"/>
        <v>1250</v>
      </c>
      <c r="K219" s="533">
        <v>0</v>
      </c>
      <c r="L219" s="359">
        <f t="shared" si="162"/>
        <v>0</v>
      </c>
      <c r="M219" s="359">
        <v>1</v>
      </c>
      <c r="N219" s="359">
        <f t="shared" si="162"/>
        <v>1</v>
      </c>
      <c r="O219" s="359">
        <f t="shared" si="162"/>
        <v>1</v>
      </c>
      <c r="P219" s="359">
        <f t="shared" si="162"/>
        <v>1</v>
      </c>
      <c r="Q219" s="359">
        <f t="shared" si="162"/>
        <v>1</v>
      </c>
      <c r="R219" s="359">
        <f t="shared" si="162"/>
        <v>1</v>
      </c>
      <c r="S219" s="359">
        <f t="shared" si="162"/>
        <v>1</v>
      </c>
      <c r="T219" s="359">
        <f t="shared" si="162"/>
        <v>1</v>
      </c>
      <c r="U219" s="359">
        <f t="shared" si="162"/>
        <v>1</v>
      </c>
      <c r="V219" s="360">
        <f t="shared" si="162"/>
        <v>1</v>
      </c>
      <c r="W219" s="332" t="str">
        <f t="shared" si="158"/>
        <v>true</v>
      </c>
    </row>
    <row r="220" spans="2:23" s="25" customFormat="1" ht="12.75">
      <c r="B220" s="128"/>
      <c r="C220" s="47" t="s">
        <v>183</v>
      </c>
      <c r="D220" s="48" t="s">
        <v>168</v>
      </c>
      <c r="E220" s="48" t="str">
        <f t="shared" si="143"/>
        <v>NursesFT</v>
      </c>
      <c r="F220" s="359">
        <v>3</v>
      </c>
      <c r="G220" s="49">
        <v>7</v>
      </c>
      <c r="H220" s="753">
        <f t="shared" si="154"/>
        <v>11250</v>
      </c>
      <c r="I220" s="754">
        <f>VLOOKUP(E220,$E$35:$I$56,3,FALSE)</f>
        <v>3750</v>
      </c>
      <c r="J220" s="755">
        <f t="shared" si="159"/>
        <v>312.5</v>
      </c>
      <c r="K220" s="533">
        <f t="shared" si="161"/>
        <v>3</v>
      </c>
      <c r="L220" s="359">
        <f t="shared" si="162"/>
        <v>3</v>
      </c>
      <c r="M220" s="359">
        <f t="shared" si="162"/>
        <v>3</v>
      </c>
      <c r="N220" s="359">
        <f t="shared" si="162"/>
        <v>3</v>
      </c>
      <c r="O220" s="359">
        <f t="shared" si="162"/>
        <v>3</v>
      </c>
      <c r="P220" s="359">
        <f t="shared" si="162"/>
        <v>3</v>
      </c>
      <c r="Q220" s="359">
        <f t="shared" si="162"/>
        <v>3</v>
      </c>
      <c r="R220" s="359">
        <f t="shared" si="162"/>
        <v>3</v>
      </c>
      <c r="S220" s="359">
        <f t="shared" si="162"/>
        <v>3</v>
      </c>
      <c r="T220" s="359">
        <f t="shared" si="162"/>
        <v>3</v>
      </c>
      <c r="U220" s="359">
        <f t="shared" si="162"/>
        <v>3</v>
      </c>
      <c r="V220" s="360">
        <f t="shared" si="162"/>
        <v>3</v>
      </c>
      <c r="W220" s="332" t="str">
        <f t="shared" si="158"/>
        <v>true</v>
      </c>
    </row>
    <row r="221" spans="2:23" s="25" customFormat="1" ht="12.75">
      <c r="B221" s="128"/>
      <c r="C221" s="47" t="s">
        <v>186</v>
      </c>
      <c r="D221" s="48" t="s">
        <v>168</v>
      </c>
      <c r="E221" s="48" t="str">
        <f t="shared" si="143"/>
        <v>TechniciansFT</v>
      </c>
      <c r="F221" s="359">
        <v>1</v>
      </c>
      <c r="G221" s="49">
        <v>2</v>
      </c>
      <c r="H221" s="753">
        <f t="shared" si="154"/>
        <v>8750</v>
      </c>
      <c r="I221" s="754">
        <f>VLOOKUP(E221,$E$35:$I$56,3,FALSE)</f>
        <v>8750</v>
      </c>
      <c r="J221" s="755">
        <f t="shared" si="159"/>
        <v>729.16666666666663</v>
      </c>
      <c r="K221" s="533">
        <f t="shared" si="161"/>
        <v>1</v>
      </c>
      <c r="L221" s="359">
        <f t="shared" si="162"/>
        <v>1</v>
      </c>
      <c r="M221" s="359">
        <f t="shared" si="162"/>
        <v>1</v>
      </c>
      <c r="N221" s="359">
        <f t="shared" si="162"/>
        <v>1</v>
      </c>
      <c r="O221" s="359">
        <f t="shared" si="162"/>
        <v>1</v>
      </c>
      <c r="P221" s="359">
        <f t="shared" si="162"/>
        <v>1</v>
      </c>
      <c r="Q221" s="359">
        <f t="shared" si="162"/>
        <v>1</v>
      </c>
      <c r="R221" s="359">
        <f t="shared" si="162"/>
        <v>1</v>
      </c>
      <c r="S221" s="359">
        <f t="shared" si="162"/>
        <v>1</v>
      </c>
      <c r="T221" s="359">
        <f t="shared" si="162"/>
        <v>1</v>
      </c>
      <c r="U221" s="359">
        <f t="shared" si="162"/>
        <v>1</v>
      </c>
      <c r="V221" s="360">
        <f t="shared" si="162"/>
        <v>1</v>
      </c>
      <c r="W221" s="332" t="str">
        <f t="shared" si="158"/>
        <v>true</v>
      </c>
    </row>
    <row r="222" spans="2:23" s="25" customFormat="1" ht="12.75">
      <c r="B222" s="128"/>
      <c r="C222" s="47" t="s">
        <v>198</v>
      </c>
      <c r="D222" s="48" t="s">
        <v>168</v>
      </c>
      <c r="E222" s="48" t="str">
        <f t="shared" si="143"/>
        <v>OthersFT</v>
      </c>
      <c r="F222" s="359">
        <v>1</v>
      </c>
      <c r="G222" s="49">
        <v>4</v>
      </c>
      <c r="H222" s="753">
        <f t="shared" si="154"/>
        <v>1250</v>
      </c>
      <c r="I222" s="754">
        <f>VLOOKUP(E222,$E$35:$I$56,3,FALSE)</f>
        <v>1250</v>
      </c>
      <c r="J222" s="755">
        <f t="shared" si="159"/>
        <v>104.16666666666667</v>
      </c>
      <c r="K222" s="533">
        <f t="shared" si="161"/>
        <v>1</v>
      </c>
      <c r="L222" s="359">
        <f t="shared" si="162"/>
        <v>1</v>
      </c>
      <c r="M222" s="359">
        <f t="shared" si="162"/>
        <v>1</v>
      </c>
      <c r="N222" s="359">
        <f t="shared" si="162"/>
        <v>1</v>
      </c>
      <c r="O222" s="359">
        <f t="shared" si="162"/>
        <v>1</v>
      </c>
      <c r="P222" s="359">
        <f t="shared" si="162"/>
        <v>1</v>
      </c>
      <c r="Q222" s="359">
        <f t="shared" si="162"/>
        <v>1</v>
      </c>
      <c r="R222" s="359">
        <f t="shared" si="162"/>
        <v>1</v>
      </c>
      <c r="S222" s="359">
        <f t="shared" si="162"/>
        <v>1</v>
      </c>
      <c r="T222" s="359">
        <f t="shared" si="162"/>
        <v>1</v>
      </c>
      <c r="U222" s="359">
        <f t="shared" si="162"/>
        <v>1</v>
      </c>
      <c r="V222" s="360">
        <f t="shared" si="162"/>
        <v>1</v>
      </c>
      <c r="W222" s="332" t="str">
        <f t="shared" si="158"/>
        <v>true</v>
      </c>
    </row>
    <row r="223" spans="2:23" s="25" customFormat="1" ht="12.75">
      <c r="B223" s="128"/>
      <c r="C223" s="498" t="s">
        <v>1757</v>
      </c>
      <c r="D223" s="48"/>
      <c r="E223" s="48"/>
      <c r="F223" s="51"/>
      <c r="G223" s="49"/>
      <c r="H223" s="753"/>
      <c r="I223" s="754"/>
      <c r="J223" s="737"/>
      <c r="K223" s="572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368"/>
      <c r="W223" s="332"/>
    </row>
    <row r="224" spans="2:23" s="25" customFormat="1" ht="12.75">
      <c r="B224" s="774">
        <f>VLOOKUP('App 2_12M Revenue'!$B$130,'App 2_12M Revenue'!$B$127:$R$133, 17,FALSE)/HLOOKUP(C224,'Medic Data'!$G$63:$L$71,6,FALSE)</f>
        <v>0.3967744885440227</v>
      </c>
      <c r="C224" s="47" t="s">
        <v>181</v>
      </c>
      <c r="D224" s="48" t="s">
        <v>168</v>
      </c>
      <c r="E224" s="48" t="str">
        <f t="shared" si="143"/>
        <v>DoctorsFT</v>
      </c>
      <c r="F224" s="359">
        <f t="shared" ref="F224" si="163">ROUNDUP(B224,0)</f>
        <v>1</v>
      </c>
      <c r="G224" s="49">
        <v>16</v>
      </c>
      <c r="H224" s="753">
        <f t="shared" si="154"/>
        <v>31250</v>
      </c>
      <c r="I224" s="754">
        <f>VLOOKUP(E224,$E$35:$I$56,3,FALSE)</f>
        <v>31250</v>
      </c>
      <c r="J224" s="755">
        <f t="shared" si="159"/>
        <v>2604.1666666666665</v>
      </c>
      <c r="K224" s="533">
        <f t="shared" ref="K224:K228" si="164">F224</f>
        <v>1</v>
      </c>
      <c r="L224" s="359">
        <f t="shared" ref="L224:V228" si="165">K224</f>
        <v>1</v>
      </c>
      <c r="M224" s="359">
        <f t="shared" si="165"/>
        <v>1</v>
      </c>
      <c r="N224" s="359">
        <f t="shared" si="165"/>
        <v>1</v>
      </c>
      <c r="O224" s="359">
        <f t="shared" si="165"/>
        <v>1</v>
      </c>
      <c r="P224" s="359">
        <f t="shared" si="165"/>
        <v>1</v>
      </c>
      <c r="Q224" s="359">
        <f t="shared" si="165"/>
        <v>1</v>
      </c>
      <c r="R224" s="359">
        <f t="shared" si="165"/>
        <v>1</v>
      </c>
      <c r="S224" s="359">
        <f t="shared" si="165"/>
        <v>1</v>
      </c>
      <c r="T224" s="359">
        <f t="shared" si="165"/>
        <v>1</v>
      </c>
      <c r="U224" s="359">
        <f t="shared" si="165"/>
        <v>1</v>
      </c>
      <c r="V224" s="360">
        <f t="shared" si="165"/>
        <v>1</v>
      </c>
      <c r="W224" s="332" t="str">
        <f t="shared" si="158"/>
        <v>true</v>
      </c>
    </row>
    <row r="225" spans="2:23" s="25" customFormat="1" ht="12.75">
      <c r="B225" s="128"/>
      <c r="C225" s="47" t="s">
        <v>181</v>
      </c>
      <c r="D225" s="48" t="s">
        <v>182</v>
      </c>
      <c r="E225" s="48" t="str">
        <f t="shared" si="143"/>
        <v>DoctorsPT</v>
      </c>
      <c r="F225" s="359">
        <v>0</v>
      </c>
      <c r="G225" s="49"/>
      <c r="H225" s="753">
        <f t="shared" si="154"/>
        <v>0</v>
      </c>
      <c r="I225" s="754">
        <f>VLOOKUP(E225,$E$35:$I$56,3,FALSE)</f>
        <v>15000</v>
      </c>
      <c r="J225" s="755">
        <f t="shared" si="159"/>
        <v>1250</v>
      </c>
      <c r="K225" s="533">
        <f t="shared" si="164"/>
        <v>0</v>
      </c>
      <c r="L225" s="359">
        <f t="shared" si="165"/>
        <v>0</v>
      </c>
      <c r="M225" s="359">
        <f t="shared" si="165"/>
        <v>0</v>
      </c>
      <c r="N225" s="359">
        <f t="shared" si="165"/>
        <v>0</v>
      </c>
      <c r="O225" s="359">
        <f t="shared" si="165"/>
        <v>0</v>
      </c>
      <c r="P225" s="359">
        <f t="shared" si="165"/>
        <v>0</v>
      </c>
      <c r="Q225" s="359">
        <f t="shared" si="165"/>
        <v>0</v>
      </c>
      <c r="R225" s="359">
        <f t="shared" si="165"/>
        <v>0</v>
      </c>
      <c r="S225" s="359">
        <f t="shared" si="165"/>
        <v>0</v>
      </c>
      <c r="T225" s="359">
        <f t="shared" si="165"/>
        <v>0</v>
      </c>
      <c r="U225" s="359">
        <f t="shared" si="165"/>
        <v>0</v>
      </c>
      <c r="V225" s="360">
        <f t="shared" si="165"/>
        <v>0</v>
      </c>
      <c r="W225" s="332" t="str">
        <f t="shared" si="158"/>
        <v>true</v>
      </c>
    </row>
    <row r="226" spans="2:23" s="25" customFormat="1" ht="12.75">
      <c r="B226" s="774">
        <f>VLOOKUP('App 2_12M Revenue'!$B$130,'App 2_12M Revenue'!$B$127:$R$133, 17,FALSE)/HLOOKUP(C226,'Medic Data'!$G$63:$L$71,6,FALSE)</f>
        <v>1.9838724427201133</v>
      </c>
      <c r="C226" s="47" t="s">
        <v>183</v>
      </c>
      <c r="D226" s="48" t="s">
        <v>168</v>
      </c>
      <c r="E226" s="48" t="str">
        <f t="shared" si="143"/>
        <v>NursesFT</v>
      </c>
      <c r="F226" s="359">
        <v>1</v>
      </c>
      <c r="G226" s="49">
        <v>5</v>
      </c>
      <c r="H226" s="753">
        <f t="shared" si="154"/>
        <v>3750</v>
      </c>
      <c r="I226" s="754">
        <f>VLOOKUP(E226,$E$35:$I$56,3,FALSE)</f>
        <v>3750</v>
      </c>
      <c r="J226" s="755">
        <f t="shared" si="159"/>
        <v>312.5</v>
      </c>
      <c r="K226" s="533">
        <f t="shared" si="164"/>
        <v>1</v>
      </c>
      <c r="L226" s="359">
        <f t="shared" si="165"/>
        <v>1</v>
      </c>
      <c r="M226" s="359">
        <f t="shared" si="165"/>
        <v>1</v>
      </c>
      <c r="N226" s="359">
        <f t="shared" si="165"/>
        <v>1</v>
      </c>
      <c r="O226" s="359">
        <f t="shared" si="165"/>
        <v>1</v>
      </c>
      <c r="P226" s="359">
        <f t="shared" si="165"/>
        <v>1</v>
      </c>
      <c r="Q226" s="359">
        <f t="shared" si="165"/>
        <v>1</v>
      </c>
      <c r="R226" s="359">
        <f t="shared" si="165"/>
        <v>1</v>
      </c>
      <c r="S226" s="359">
        <f t="shared" si="165"/>
        <v>1</v>
      </c>
      <c r="T226" s="359">
        <f t="shared" si="165"/>
        <v>1</v>
      </c>
      <c r="U226" s="359">
        <f t="shared" si="165"/>
        <v>1</v>
      </c>
      <c r="V226" s="360">
        <f t="shared" si="165"/>
        <v>1</v>
      </c>
      <c r="W226" s="332" t="str">
        <f t="shared" si="158"/>
        <v>true</v>
      </c>
    </row>
    <row r="227" spans="2:23" s="25" customFormat="1" ht="12.75">
      <c r="B227" s="774">
        <f>VLOOKUP('App 2_12M Revenue'!$B$130,'App 2_12M Revenue'!$B$127:$R$133, 17,FALSE)/HLOOKUP(C227,'Medic Data'!$G$63:$L$71,6,FALSE)</f>
        <v>0.15870979541760907</v>
      </c>
      <c r="C227" s="47" t="s">
        <v>186</v>
      </c>
      <c r="D227" s="48" t="s">
        <v>168</v>
      </c>
      <c r="E227" s="48" t="str">
        <f t="shared" si="143"/>
        <v>TechniciansFT</v>
      </c>
      <c r="F227" s="359">
        <f t="shared" ref="F227" si="166">ROUNDUP(B227,0)</f>
        <v>1</v>
      </c>
      <c r="G227" s="49">
        <v>1</v>
      </c>
      <c r="H227" s="753">
        <f t="shared" si="154"/>
        <v>8750</v>
      </c>
      <c r="I227" s="754">
        <f>VLOOKUP(E227,$E$35:$I$56,3,FALSE)</f>
        <v>8750</v>
      </c>
      <c r="J227" s="755">
        <f t="shared" si="159"/>
        <v>729.16666666666663</v>
      </c>
      <c r="K227" s="533">
        <f t="shared" si="164"/>
        <v>1</v>
      </c>
      <c r="L227" s="359">
        <f t="shared" si="165"/>
        <v>1</v>
      </c>
      <c r="M227" s="359">
        <f t="shared" si="165"/>
        <v>1</v>
      </c>
      <c r="N227" s="359">
        <f t="shared" si="165"/>
        <v>1</v>
      </c>
      <c r="O227" s="359">
        <f t="shared" si="165"/>
        <v>1</v>
      </c>
      <c r="P227" s="359">
        <f t="shared" si="165"/>
        <v>1</v>
      </c>
      <c r="Q227" s="359">
        <f t="shared" si="165"/>
        <v>1</v>
      </c>
      <c r="R227" s="359">
        <f t="shared" si="165"/>
        <v>1</v>
      </c>
      <c r="S227" s="359">
        <f t="shared" si="165"/>
        <v>1</v>
      </c>
      <c r="T227" s="359">
        <f t="shared" si="165"/>
        <v>1</v>
      </c>
      <c r="U227" s="359">
        <f t="shared" si="165"/>
        <v>1</v>
      </c>
      <c r="V227" s="360">
        <f t="shared" si="165"/>
        <v>1</v>
      </c>
      <c r="W227" s="332" t="str">
        <f t="shared" si="158"/>
        <v>true</v>
      </c>
    </row>
    <row r="228" spans="2:23" s="25" customFormat="1" ht="12.75">
      <c r="B228" s="774">
        <f>VLOOKUP('App 2_12M Revenue'!$B$130,'App 2_12M Revenue'!$B$127:$R$133, 17,FALSE)/HLOOKUP(C228,'Medic Data'!$G$63:$L$71,6,FALSE)</f>
        <v>0.15870979541760907</v>
      </c>
      <c r="C228" s="47" t="s">
        <v>198</v>
      </c>
      <c r="D228" s="48" t="s">
        <v>168</v>
      </c>
      <c r="E228" s="48" t="str">
        <f t="shared" si="143"/>
        <v>OthersFT</v>
      </c>
      <c r="F228" s="359">
        <v>0</v>
      </c>
      <c r="G228" s="49">
        <v>4</v>
      </c>
      <c r="H228" s="753">
        <f t="shared" si="154"/>
        <v>0</v>
      </c>
      <c r="I228" s="754">
        <f>VLOOKUP(E228,$E$35:$I$56,3,FALSE)</f>
        <v>1250</v>
      </c>
      <c r="J228" s="755">
        <f t="shared" si="159"/>
        <v>104.16666666666667</v>
      </c>
      <c r="K228" s="533">
        <f t="shared" si="164"/>
        <v>0</v>
      </c>
      <c r="L228" s="359">
        <f t="shared" si="165"/>
        <v>0</v>
      </c>
      <c r="M228" s="359">
        <f t="shared" si="165"/>
        <v>0</v>
      </c>
      <c r="N228" s="359">
        <f t="shared" si="165"/>
        <v>0</v>
      </c>
      <c r="O228" s="359">
        <f t="shared" si="165"/>
        <v>0</v>
      </c>
      <c r="P228" s="359">
        <f t="shared" si="165"/>
        <v>0</v>
      </c>
      <c r="Q228" s="359">
        <f t="shared" si="165"/>
        <v>0</v>
      </c>
      <c r="R228" s="359">
        <f t="shared" si="165"/>
        <v>0</v>
      </c>
      <c r="S228" s="359">
        <f t="shared" si="165"/>
        <v>0</v>
      </c>
      <c r="T228" s="359">
        <f t="shared" si="165"/>
        <v>0</v>
      </c>
      <c r="U228" s="359">
        <f t="shared" si="165"/>
        <v>0</v>
      </c>
      <c r="V228" s="360">
        <f t="shared" si="165"/>
        <v>0</v>
      </c>
      <c r="W228" s="332" t="str">
        <f t="shared" si="158"/>
        <v>true</v>
      </c>
    </row>
    <row r="229" spans="2:23" s="25" customFormat="1" ht="12.75">
      <c r="B229" s="128"/>
      <c r="C229" s="498" t="s">
        <v>51</v>
      </c>
      <c r="D229" s="48"/>
      <c r="E229" s="48"/>
      <c r="F229" s="51"/>
      <c r="G229" s="49"/>
      <c r="H229" s="753"/>
      <c r="I229" s="754"/>
      <c r="J229" s="737"/>
      <c r="K229" s="572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368"/>
      <c r="W229" s="332"/>
    </row>
    <row r="230" spans="2:23" s="25" customFormat="1" ht="12.75">
      <c r="B230" s="774">
        <f>VLOOKUP('App 2_12M Revenue'!$B$130,'App 2_12M Revenue'!$B$127:$R$133, 17,FALSE)/HLOOKUP(C230,'Medic Data'!$G$63:$L$71,6,FALSE)</f>
        <v>0.3967744885440227</v>
      </c>
      <c r="C230" s="47" t="s">
        <v>181</v>
      </c>
      <c r="D230" s="48" t="s">
        <v>168</v>
      </c>
      <c r="E230" s="48" t="str">
        <f t="shared" si="143"/>
        <v>DoctorsFT</v>
      </c>
      <c r="F230" s="359">
        <f t="shared" ref="F230" si="167">ROUNDUP(B230,0)</f>
        <v>1</v>
      </c>
      <c r="G230" s="49"/>
      <c r="H230" s="753">
        <f t="shared" si="154"/>
        <v>31250</v>
      </c>
      <c r="I230" s="754">
        <f>VLOOKUP(E230,$E$35:$I$56,3,FALSE)</f>
        <v>31250</v>
      </c>
      <c r="J230" s="755">
        <f t="shared" si="159"/>
        <v>2604.1666666666665</v>
      </c>
      <c r="K230" s="533">
        <f t="shared" ref="K230:K234" si="168">F230</f>
        <v>1</v>
      </c>
      <c r="L230" s="359">
        <f t="shared" ref="L230:V237" si="169">K230</f>
        <v>1</v>
      </c>
      <c r="M230" s="359">
        <f t="shared" si="169"/>
        <v>1</v>
      </c>
      <c r="N230" s="359">
        <f t="shared" si="169"/>
        <v>1</v>
      </c>
      <c r="O230" s="359">
        <f t="shared" si="169"/>
        <v>1</v>
      </c>
      <c r="P230" s="359">
        <f t="shared" si="169"/>
        <v>1</v>
      </c>
      <c r="Q230" s="359">
        <f t="shared" si="169"/>
        <v>1</v>
      </c>
      <c r="R230" s="359">
        <f t="shared" si="169"/>
        <v>1</v>
      </c>
      <c r="S230" s="359">
        <f t="shared" si="169"/>
        <v>1</v>
      </c>
      <c r="T230" s="359">
        <f t="shared" si="169"/>
        <v>1</v>
      </c>
      <c r="U230" s="359">
        <f t="shared" si="169"/>
        <v>1</v>
      </c>
      <c r="V230" s="360">
        <f t="shared" si="169"/>
        <v>1</v>
      </c>
      <c r="W230" s="332" t="str">
        <f t="shared" si="158"/>
        <v>true</v>
      </c>
    </row>
    <row r="231" spans="2:23" s="25" customFormat="1" ht="12.75">
      <c r="B231" s="128"/>
      <c r="C231" s="47" t="s">
        <v>181</v>
      </c>
      <c r="D231" s="48" t="s">
        <v>182</v>
      </c>
      <c r="E231" s="48" t="str">
        <f t="shared" si="143"/>
        <v>DoctorsPT</v>
      </c>
      <c r="F231" s="359">
        <v>0</v>
      </c>
      <c r="G231" s="49"/>
      <c r="H231" s="753">
        <f t="shared" si="154"/>
        <v>0</v>
      </c>
      <c r="I231" s="754">
        <f>VLOOKUP(E231,$E$35:$I$56,3,FALSE)</f>
        <v>15000</v>
      </c>
      <c r="J231" s="755">
        <f t="shared" si="159"/>
        <v>1250</v>
      </c>
      <c r="K231" s="533">
        <f t="shared" si="168"/>
        <v>0</v>
      </c>
      <c r="L231" s="359">
        <f t="shared" si="169"/>
        <v>0</v>
      </c>
      <c r="M231" s="359">
        <f t="shared" si="169"/>
        <v>0</v>
      </c>
      <c r="N231" s="359">
        <f t="shared" si="169"/>
        <v>0</v>
      </c>
      <c r="O231" s="359">
        <f t="shared" si="169"/>
        <v>0</v>
      </c>
      <c r="P231" s="359">
        <f t="shared" si="169"/>
        <v>0</v>
      </c>
      <c r="Q231" s="359">
        <f t="shared" si="169"/>
        <v>0</v>
      </c>
      <c r="R231" s="359">
        <f t="shared" si="169"/>
        <v>0</v>
      </c>
      <c r="S231" s="359">
        <f t="shared" si="169"/>
        <v>0</v>
      </c>
      <c r="T231" s="359">
        <f t="shared" si="169"/>
        <v>0</v>
      </c>
      <c r="U231" s="359">
        <f t="shared" si="169"/>
        <v>0</v>
      </c>
      <c r="V231" s="360">
        <f t="shared" si="169"/>
        <v>0</v>
      </c>
      <c r="W231" s="332" t="str">
        <f t="shared" si="158"/>
        <v>true</v>
      </c>
    </row>
    <row r="232" spans="2:23" s="25" customFormat="1" ht="12.75">
      <c r="B232" s="774">
        <f>VLOOKUP('App 2_12M Revenue'!$B$130,'App 2_12M Revenue'!$B$127:$R$133, 17,FALSE)/HLOOKUP(C232,'Medic Data'!$G$63:$L$71,6,FALSE)</f>
        <v>1.9838724427201133</v>
      </c>
      <c r="C232" s="47" t="s">
        <v>183</v>
      </c>
      <c r="D232" s="48" t="s">
        <v>168</v>
      </c>
      <c r="E232" s="48" t="str">
        <f t="shared" si="143"/>
        <v>NursesFT</v>
      </c>
      <c r="F232" s="359">
        <v>1</v>
      </c>
      <c r="G232" s="49"/>
      <c r="H232" s="753">
        <f t="shared" si="154"/>
        <v>3750</v>
      </c>
      <c r="I232" s="754">
        <f>VLOOKUP(E232,$E$35:$I$56,3,FALSE)</f>
        <v>3750</v>
      </c>
      <c r="J232" s="755">
        <f t="shared" si="159"/>
        <v>312.5</v>
      </c>
      <c r="K232" s="533">
        <f t="shared" si="168"/>
        <v>1</v>
      </c>
      <c r="L232" s="359">
        <f t="shared" si="169"/>
        <v>1</v>
      </c>
      <c r="M232" s="359">
        <f t="shared" si="169"/>
        <v>1</v>
      </c>
      <c r="N232" s="359">
        <f t="shared" si="169"/>
        <v>1</v>
      </c>
      <c r="O232" s="359">
        <f t="shared" si="169"/>
        <v>1</v>
      </c>
      <c r="P232" s="359">
        <f t="shared" si="169"/>
        <v>1</v>
      </c>
      <c r="Q232" s="359">
        <f t="shared" si="169"/>
        <v>1</v>
      </c>
      <c r="R232" s="359">
        <f t="shared" si="169"/>
        <v>1</v>
      </c>
      <c r="S232" s="359">
        <f t="shared" si="169"/>
        <v>1</v>
      </c>
      <c r="T232" s="359">
        <f t="shared" si="169"/>
        <v>1</v>
      </c>
      <c r="U232" s="359">
        <f t="shared" si="169"/>
        <v>1</v>
      </c>
      <c r="V232" s="360">
        <f t="shared" si="169"/>
        <v>1</v>
      </c>
      <c r="W232" s="332" t="str">
        <f t="shared" si="158"/>
        <v>true</v>
      </c>
    </row>
    <row r="233" spans="2:23" s="25" customFormat="1" ht="12.75">
      <c r="B233" s="774">
        <f>VLOOKUP('App 2_12M Revenue'!$B$130,'App 2_12M Revenue'!$B$127:$R$133, 17,FALSE)/HLOOKUP(C233,'Medic Data'!$G$63:$L$71,6,FALSE)</f>
        <v>0.15870979541760907</v>
      </c>
      <c r="C233" s="47" t="s">
        <v>186</v>
      </c>
      <c r="D233" s="48" t="s">
        <v>168</v>
      </c>
      <c r="E233" s="48" t="str">
        <f t="shared" si="143"/>
        <v>TechniciansFT</v>
      </c>
      <c r="F233" s="359">
        <v>1</v>
      </c>
      <c r="G233" s="49"/>
      <c r="H233" s="753">
        <f t="shared" si="154"/>
        <v>8750</v>
      </c>
      <c r="I233" s="754">
        <f>VLOOKUP(E233,$E$35:$I$56,3,FALSE)</f>
        <v>8750</v>
      </c>
      <c r="J233" s="755">
        <f t="shared" si="159"/>
        <v>729.16666666666663</v>
      </c>
      <c r="K233" s="533">
        <f t="shared" si="168"/>
        <v>1</v>
      </c>
      <c r="L233" s="359">
        <f t="shared" si="169"/>
        <v>1</v>
      </c>
      <c r="M233" s="359">
        <f t="shared" si="169"/>
        <v>1</v>
      </c>
      <c r="N233" s="359">
        <f t="shared" si="169"/>
        <v>1</v>
      </c>
      <c r="O233" s="359">
        <f t="shared" si="169"/>
        <v>1</v>
      </c>
      <c r="P233" s="359">
        <f t="shared" si="169"/>
        <v>1</v>
      </c>
      <c r="Q233" s="359">
        <f t="shared" si="169"/>
        <v>1</v>
      </c>
      <c r="R233" s="359">
        <f t="shared" si="169"/>
        <v>1</v>
      </c>
      <c r="S233" s="359">
        <f t="shared" si="169"/>
        <v>1</v>
      </c>
      <c r="T233" s="359">
        <f t="shared" si="169"/>
        <v>1</v>
      </c>
      <c r="U233" s="359">
        <f t="shared" si="169"/>
        <v>1</v>
      </c>
      <c r="V233" s="360">
        <f t="shared" si="169"/>
        <v>1</v>
      </c>
      <c r="W233" s="332" t="str">
        <f t="shared" si="158"/>
        <v>true</v>
      </c>
    </row>
    <row r="234" spans="2:23" s="25" customFormat="1" ht="12.75">
      <c r="B234" s="774">
        <f>VLOOKUP('App 2_12M Revenue'!$B$130,'App 2_12M Revenue'!$B$127:$R$133, 17,FALSE)/HLOOKUP(C234,'Medic Data'!$G$63:$L$71,6,FALSE)</f>
        <v>0.15870979541760907</v>
      </c>
      <c r="C234" s="60" t="s">
        <v>198</v>
      </c>
      <c r="D234" s="61" t="s">
        <v>168</v>
      </c>
      <c r="E234" s="61" t="str">
        <f t="shared" si="143"/>
        <v>OthersFT</v>
      </c>
      <c r="F234" s="563">
        <v>0</v>
      </c>
      <c r="G234" s="62"/>
      <c r="H234" s="756">
        <f t="shared" si="154"/>
        <v>0</v>
      </c>
      <c r="I234" s="750">
        <f>VLOOKUP(E234,$E$35:$I$56,3,FALSE)</f>
        <v>1250</v>
      </c>
      <c r="J234" s="760">
        <f t="shared" si="159"/>
        <v>104.16666666666667</v>
      </c>
      <c r="K234" s="566">
        <f t="shared" si="168"/>
        <v>0</v>
      </c>
      <c r="L234" s="563">
        <f t="shared" si="169"/>
        <v>0</v>
      </c>
      <c r="M234" s="563">
        <f t="shared" si="169"/>
        <v>0</v>
      </c>
      <c r="N234" s="563">
        <f t="shared" si="169"/>
        <v>0</v>
      </c>
      <c r="O234" s="563">
        <f t="shared" si="169"/>
        <v>0</v>
      </c>
      <c r="P234" s="563">
        <f t="shared" si="169"/>
        <v>0</v>
      </c>
      <c r="Q234" s="563">
        <f t="shared" si="169"/>
        <v>0</v>
      </c>
      <c r="R234" s="563">
        <f t="shared" si="169"/>
        <v>0</v>
      </c>
      <c r="S234" s="563">
        <f t="shared" si="169"/>
        <v>0</v>
      </c>
      <c r="T234" s="563">
        <f t="shared" si="169"/>
        <v>0</v>
      </c>
      <c r="U234" s="563">
        <f t="shared" si="169"/>
        <v>0</v>
      </c>
      <c r="V234" s="564">
        <f t="shared" si="169"/>
        <v>0</v>
      </c>
      <c r="W234" s="332" t="str">
        <f t="shared" si="158"/>
        <v>true</v>
      </c>
    </row>
    <row r="235" spans="2:23" s="25" customFormat="1" ht="18.75" hidden="1" customHeight="1">
      <c r="B235" s="128" t="s">
        <v>19</v>
      </c>
      <c r="F235" s="32">
        <f>SUM(F189:F192)</f>
        <v>9</v>
      </c>
      <c r="G235" s="49"/>
      <c r="H235" s="49">
        <f>SUM(H189:H192)</f>
        <v>145000</v>
      </c>
      <c r="I235" s="332"/>
      <c r="J235" s="332"/>
      <c r="K235" s="669"/>
      <c r="L235" s="669">
        <f t="shared" ref="L235:L237" si="170">G235</f>
        <v>0</v>
      </c>
      <c r="M235" s="669">
        <f t="shared" si="169"/>
        <v>0</v>
      </c>
      <c r="N235" s="669"/>
      <c r="O235" s="669"/>
      <c r="P235" s="669"/>
      <c r="Q235" s="669"/>
      <c r="R235" s="669"/>
      <c r="S235" s="669"/>
      <c r="T235" s="669"/>
      <c r="U235" s="669"/>
      <c r="V235" s="669"/>
      <c r="W235" s="332"/>
    </row>
    <row r="236" spans="2:23" s="25" customFormat="1" ht="7.5" hidden="1" customHeight="1">
      <c r="B236" s="128" t="s">
        <v>16</v>
      </c>
      <c r="F236" s="32">
        <f>SUM(F195:F202)</f>
        <v>10</v>
      </c>
      <c r="G236" s="49"/>
      <c r="H236" s="49">
        <f>SUM(H195:H202)</f>
        <v>132500</v>
      </c>
      <c r="I236" s="332"/>
      <c r="J236" s="332"/>
      <c r="K236" s="669"/>
      <c r="L236" s="669">
        <f t="shared" si="170"/>
        <v>0</v>
      </c>
      <c r="M236" s="669">
        <f t="shared" si="169"/>
        <v>0</v>
      </c>
      <c r="N236" s="669"/>
      <c r="O236" s="669"/>
      <c r="P236" s="669"/>
      <c r="Q236" s="669"/>
      <c r="R236" s="669"/>
      <c r="S236" s="669"/>
      <c r="T236" s="669"/>
      <c r="U236" s="669"/>
      <c r="V236" s="669"/>
      <c r="W236" s="332"/>
    </row>
    <row r="237" spans="2:23" s="25" customFormat="1" ht="7.5" hidden="1" customHeight="1">
      <c r="B237" s="128" t="s">
        <v>187</v>
      </c>
      <c r="F237" s="32">
        <f>SUM(F206:F234)</f>
        <v>24</v>
      </c>
      <c r="G237" s="49"/>
      <c r="H237" s="49">
        <f>SUM(H206:H234)</f>
        <v>270937.5</v>
      </c>
      <c r="I237" s="332"/>
      <c r="J237" s="332"/>
      <c r="K237" s="669"/>
      <c r="L237" s="669">
        <f t="shared" si="170"/>
        <v>0</v>
      </c>
      <c r="M237" s="669">
        <f t="shared" si="169"/>
        <v>0</v>
      </c>
      <c r="N237" s="669"/>
      <c r="O237" s="669"/>
      <c r="P237" s="669"/>
      <c r="Q237" s="669"/>
      <c r="R237" s="669"/>
      <c r="S237" s="669"/>
      <c r="T237" s="669"/>
      <c r="U237" s="669"/>
      <c r="V237" s="669"/>
      <c r="W237" s="332"/>
    </row>
    <row r="238" spans="2:23" s="25" customFormat="1" ht="7.5" customHeight="1">
      <c r="B238" s="128"/>
      <c r="F238" s="32"/>
      <c r="G238" s="49"/>
      <c r="H238" s="49"/>
      <c r="I238" s="332"/>
      <c r="J238" s="332"/>
      <c r="K238" s="669"/>
      <c r="L238" s="669"/>
      <c r="M238" s="669"/>
      <c r="N238" s="669"/>
      <c r="O238" s="669"/>
      <c r="P238" s="669"/>
      <c r="Q238" s="669"/>
      <c r="R238" s="669"/>
      <c r="S238" s="669"/>
      <c r="T238" s="669"/>
      <c r="U238" s="669"/>
      <c r="V238" s="669"/>
      <c r="W238" s="332"/>
    </row>
    <row r="239" spans="2:23" s="25" customFormat="1" ht="12.75">
      <c r="B239" s="128"/>
      <c r="C239" s="534" t="s">
        <v>191</v>
      </c>
      <c r="D239" s="455"/>
      <c r="E239" s="455"/>
      <c r="F239" s="364"/>
      <c r="G239" s="186"/>
      <c r="H239" s="199"/>
      <c r="I239" s="761"/>
      <c r="J239" s="752"/>
      <c r="K239" s="673"/>
      <c r="L239" s="674"/>
      <c r="M239" s="674"/>
      <c r="N239" s="674"/>
      <c r="O239" s="674"/>
      <c r="P239" s="674"/>
      <c r="Q239" s="674"/>
      <c r="R239" s="674"/>
      <c r="S239" s="674"/>
      <c r="T239" s="674"/>
      <c r="U239" s="674"/>
      <c r="V239" s="675"/>
      <c r="W239" s="332"/>
    </row>
    <row r="240" spans="2:23" s="25" customFormat="1" ht="12.75">
      <c r="B240" s="128"/>
      <c r="C240" s="498" t="s">
        <v>192</v>
      </c>
      <c r="D240" s="48"/>
      <c r="E240" s="48"/>
      <c r="F240" s="51"/>
      <c r="G240" s="49"/>
      <c r="H240" s="200"/>
      <c r="I240" s="754"/>
      <c r="J240" s="737"/>
      <c r="K240" s="657"/>
      <c r="L240" s="680"/>
      <c r="M240" s="680"/>
      <c r="N240" s="680"/>
      <c r="O240" s="680"/>
      <c r="P240" s="680"/>
      <c r="Q240" s="680"/>
      <c r="R240" s="680"/>
      <c r="S240" s="680"/>
      <c r="T240" s="680"/>
      <c r="U240" s="680"/>
      <c r="V240" s="681"/>
      <c r="W240" s="332"/>
    </row>
    <row r="241" spans="2:23" s="25" customFormat="1" ht="12.75">
      <c r="B241" s="128"/>
      <c r="C241" s="762" t="s">
        <v>193</v>
      </c>
      <c r="D241" s="48" t="s">
        <v>168</v>
      </c>
      <c r="E241" s="48" t="s">
        <v>232</v>
      </c>
      <c r="F241" s="359">
        <v>1</v>
      </c>
      <c r="G241" s="49"/>
      <c r="H241" s="753">
        <f t="shared" ref="H241:H258" si="171">J241*SUM(K241:V241)</f>
        <v>18750</v>
      </c>
      <c r="I241" s="754">
        <f>VLOOKUP(E241,$E$35:$I$56,3,FALSE)</f>
        <v>18750</v>
      </c>
      <c r="J241" s="755">
        <f t="shared" ref="J241:J258" si="172">I241/12</f>
        <v>1562.5</v>
      </c>
      <c r="K241" s="533">
        <f t="shared" ref="K241" si="173">F241</f>
        <v>1</v>
      </c>
      <c r="L241" s="359">
        <f t="shared" ref="L241:V243" si="174">K241</f>
        <v>1</v>
      </c>
      <c r="M241" s="359">
        <f t="shared" si="174"/>
        <v>1</v>
      </c>
      <c r="N241" s="359">
        <f t="shared" si="174"/>
        <v>1</v>
      </c>
      <c r="O241" s="359">
        <f t="shared" si="174"/>
        <v>1</v>
      </c>
      <c r="P241" s="359">
        <f t="shared" si="174"/>
        <v>1</v>
      </c>
      <c r="Q241" s="359">
        <f t="shared" si="174"/>
        <v>1</v>
      </c>
      <c r="R241" s="359">
        <f t="shared" si="174"/>
        <v>1</v>
      </c>
      <c r="S241" s="359">
        <f t="shared" si="174"/>
        <v>1</v>
      </c>
      <c r="T241" s="359">
        <f t="shared" si="174"/>
        <v>1</v>
      </c>
      <c r="U241" s="359">
        <f t="shared" si="174"/>
        <v>1</v>
      </c>
      <c r="V241" s="360">
        <f t="shared" si="174"/>
        <v>1</v>
      </c>
      <c r="W241" s="332" t="str">
        <f t="shared" ref="W241:W258" si="175">IF(V241-F241=0,"true","false")</f>
        <v>true</v>
      </c>
    </row>
    <row r="242" spans="2:23" s="25" customFormat="1" ht="12.75">
      <c r="B242" s="128"/>
      <c r="C242" s="762" t="s">
        <v>178</v>
      </c>
      <c r="D242" s="48" t="s">
        <v>168</v>
      </c>
      <c r="E242" s="48" t="str">
        <f t="shared" ref="E242:E243" si="176">CONCATENATE(C242,D242)</f>
        <v>AssociateFT</v>
      </c>
      <c r="F242" s="359">
        <v>3</v>
      </c>
      <c r="G242" s="49"/>
      <c r="H242" s="753">
        <f t="shared" si="171"/>
        <v>7500</v>
      </c>
      <c r="I242" s="754">
        <f>VLOOKUP(E242,$E$35:$I$56,3,FALSE)</f>
        <v>3750</v>
      </c>
      <c r="J242" s="755">
        <f t="shared" si="172"/>
        <v>312.5</v>
      </c>
      <c r="K242" s="533">
        <v>1</v>
      </c>
      <c r="L242" s="359">
        <f t="shared" si="174"/>
        <v>1</v>
      </c>
      <c r="M242" s="359">
        <f t="shared" si="174"/>
        <v>1</v>
      </c>
      <c r="N242" s="359">
        <v>1</v>
      </c>
      <c r="O242" s="359">
        <v>2</v>
      </c>
      <c r="P242" s="359">
        <f t="shared" si="174"/>
        <v>2</v>
      </c>
      <c r="Q242" s="359">
        <f>P242</f>
        <v>2</v>
      </c>
      <c r="R242" s="359">
        <f t="shared" si="174"/>
        <v>2</v>
      </c>
      <c r="S242" s="359">
        <v>3</v>
      </c>
      <c r="T242" s="359">
        <f t="shared" si="174"/>
        <v>3</v>
      </c>
      <c r="U242" s="359">
        <f t="shared" si="174"/>
        <v>3</v>
      </c>
      <c r="V242" s="360">
        <f t="shared" si="174"/>
        <v>3</v>
      </c>
      <c r="W242" s="332" t="str">
        <f t="shared" si="175"/>
        <v>true</v>
      </c>
    </row>
    <row r="243" spans="2:23" s="25" customFormat="1" ht="12.75">
      <c r="B243" s="128"/>
      <c r="C243" s="762" t="s">
        <v>178</v>
      </c>
      <c r="D243" s="48" t="s">
        <v>182</v>
      </c>
      <c r="E243" s="48" t="str">
        <f t="shared" si="176"/>
        <v>AssociatePT</v>
      </c>
      <c r="F243" s="359">
        <v>6</v>
      </c>
      <c r="G243" s="49"/>
      <c r="H243" s="753">
        <f t="shared" si="171"/>
        <v>5250</v>
      </c>
      <c r="I243" s="754">
        <f>VLOOKUP(E243,$E$35:$I$56,3,FALSE)</f>
        <v>1500</v>
      </c>
      <c r="J243" s="755">
        <f t="shared" si="172"/>
        <v>125</v>
      </c>
      <c r="K243" s="533">
        <v>0</v>
      </c>
      <c r="L243" s="359">
        <f t="shared" si="174"/>
        <v>0</v>
      </c>
      <c r="M243" s="359">
        <f t="shared" si="174"/>
        <v>0</v>
      </c>
      <c r="N243" s="359">
        <v>3</v>
      </c>
      <c r="O243" s="359">
        <f t="shared" si="174"/>
        <v>3</v>
      </c>
      <c r="P243" s="359">
        <f t="shared" si="174"/>
        <v>3</v>
      </c>
      <c r="Q243" s="359">
        <f t="shared" si="174"/>
        <v>3</v>
      </c>
      <c r="R243" s="359">
        <v>6</v>
      </c>
      <c r="S243" s="359">
        <f t="shared" si="174"/>
        <v>6</v>
      </c>
      <c r="T243" s="359">
        <f t="shared" si="174"/>
        <v>6</v>
      </c>
      <c r="U243" s="359">
        <f t="shared" si="174"/>
        <v>6</v>
      </c>
      <c r="V243" s="360">
        <f t="shared" si="174"/>
        <v>6</v>
      </c>
      <c r="W243" s="332" t="str">
        <f t="shared" si="175"/>
        <v>true</v>
      </c>
    </row>
    <row r="244" spans="2:23" s="25" customFormat="1" ht="12.75">
      <c r="B244" s="128"/>
      <c r="C244" s="498" t="s">
        <v>194</v>
      </c>
      <c r="D244" s="48"/>
      <c r="E244" s="48"/>
      <c r="F244" s="51"/>
      <c r="G244" s="49"/>
      <c r="H244" s="753"/>
      <c r="I244" s="754"/>
      <c r="J244" s="755"/>
      <c r="K244" s="533"/>
      <c r="L244" s="359"/>
      <c r="M244" s="359"/>
      <c r="N244" s="359"/>
      <c r="O244" s="359"/>
      <c r="P244" s="359"/>
      <c r="Q244" s="359"/>
      <c r="R244" s="359"/>
      <c r="S244" s="359"/>
      <c r="T244" s="359"/>
      <c r="U244" s="359"/>
      <c r="V244" s="360"/>
      <c r="W244" s="332" t="str">
        <f t="shared" si="175"/>
        <v>true</v>
      </c>
    </row>
    <row r="245" spans="2:23" s="25" customFormat="1" ht="12.75">
      <c r="B245" s="128"/>
      <c r="C245" s="762" t="s">
        <v>195</v>
      </c>
      <c r="D245" s="48" t="s">
        <v>168</v>
      </c>
      <c r="E245" s="48" t="s">
        <v>232</v>
      </c>
      <c r="F245" s="359">
        <v>1</v>
      </c>
      <c r="G245" s="49"/>
      <c r="H245" s="753">
        <f t="shared" si="171"/>
        <v>18750</v>
      </c>
      <c r="I245" s="754">
        <f>VLOOKUP(E245,$E$35:$I$56,3,FALSE)</f>
        <v>18750</v>
      </c>
      <c r="J245" s="755">
        <f t="shared" si="172"/>
        <v>1562.5</v>
      </c>
      <c r="K245" s="533">
        <f t="shared" ref="K245" si="177">F245</f>
        <v>1</v>
      </c>
      <c r="L245" s="359">
        <f t="shared" ref="L245:V247" si="178">K245</f>
        <v>1</v>
      </c>
      <c r="M245" s="359">
        <f t="shared" si="178"/>
        <v>1</v>
      </c>
      <c r="N245" s="359">
        <f t="shared" si="178"/>
        <v>1</v>
      </c>
      <c r="O245" s="359">
        <f t="shared" si="178"/>
        <v>1</v>
      </c>
      <c r="P245" s="359">
        <f t="shared" si="178"/>
        <v>1</v>
      </c>
      <c r="Q245" s="359">
        <f t="shared" si="178"/>
        <v>1</v>
      </c>
      <c r="R245" s="359">
        <f t="shared" si="178"/>
        <v>1</v>
      </c>
      <c r="S245" s="359">
        <f t="shared" si="178"/>
        <v>1</v>
      </c>
      <c r="T245" s="359">
        <f t="shared" si="178"/>
        <v>1</v>
      </c>
      <c r="U245" s="359">
        <f t="shared" si="178"/>
        <v>1</v>
      </c>
      <c r="V245" s="360">
        <f t="shared" si="178"/>
        <v>1</v>
      </c>
      <c r="W245" s="332" t="str">
        <f t="shared" si="175"/>
        <v>true</v>
      </c>
    </row>
    <row r="246" spans="2:23" s="25" customFormat="1" ht="12.75">
      <c r="B246" s="128"/>
      <c r="C246" s="762" t="s">
        <v>178</v>
      </c>
      <c r="D246" s="48" t="s">
        <v>168</v>
      </c>
      <c r="E246" s="48" t="str">
        <f t="shared" ref="E246:E247" si="179">CONCATENATE(C246,D246)</f>
        <v>AssociateFT</v>
      </c>
      <c r="F246" s="359">
        <v>2</v>
      </c>
      <c r="G246" s="49"/>
      <c r="H246" s="753">
        <f t="shared" si="171"/>
        <v>5625</v>
      </c>
      <c r="I246" s="754">
        <f>VLOOKUP(E246,$E$35:$I$56,3,FALSE)</f>
        <v>3750</v>
      </c>
      <c r="J246" s="755">
        <f t="shared" si="172"/>
        <v>312.5</v>
      </c>
      <c r="K246" s="533">
        <v>1</v>
      </c>
      <c r="L246" s="359">
        <f t="shared" si="178"/>
        <v>1</v>
      </c>
      <c r="M246" s="359">
        <f t="shared" si="178"/>
        <v>1</v>
      </c>
      <c r="N246" s="359">
        <v>1</v>
      </c>
      <c r="O246" s="359">
        <v>1</v>
      </c>
      <c r="P246" s="359">
        <f t="shared" si="178"/>
        <v>1</v>
      </c>
      <c r="Q246" s="359">
        <v>2</v>
      </c>
      <c r="R246" s="359">
        <v>2</v>
      </c>
      <c r="S246" s="359">
        <v>2</v>
      </c>
      <c r="T246" s="359">
        <f t="shared" si="178"/>
        <v>2</v>
      </c>
      <c r="U246" s="359">
        <f t="shared" si="178"/>
        <v>2</v>
      </c>
      <c r="V246" s="360">
        <f t="shared" si="178"/>
        <v>2</v>
      </c>
      <c r="W246" s="332" t="str">
        <f t="shared" si="175"/>
        <v>true</v>
      </c>
    </row>
    <row r="247" spans="2:23" s="25" customFormat="1" ht="12.75">
      <c r="B247" s="128"/>
      <c r="C247" s="762" t="s">
        <v>178</v>
      </c>
      <c r="D247" s="48" t="s">
        <v>182</v>
      </c>
      <c r="E247" s="48" t="str">
        <f t="shared" si="179"/>
        <v>AssociatePT</v>
      </c>
      <c r="F247" s="359">
        <v>2</v>
      </c>
      <c r="G247" s="49"/>
      <c r="H247" s="753">
        <f t="shared" si="171"/>
        <v>1500</v>
      </c>
      <c r="I247" s="754">
        <f>VLOOKUP(E247,$E$35:$I$56,3,FALSE)</f>
        <v>1500</v>
      </c>
      <c r="J247" s="755">
        <f t="shared" si="172"/>
        <v>125</v>
      </c>
      <c r="K247" s="533">
        <v>0</v>
      </c>
      <c r="L247" s="359">
        <f t="shared" si="178"/>
        <v>0</v>
      </c>
      <c r="M247" s="359">
        <f t="shared" si="178"/>
        <v>0</v>
      </c>
      <c r="N247" s="359">
        <f t="shared" si="178"/>
        <v>0</v>
      </c>
      <c r="O247" s="359">
        <v>1</v>
      </c>
      <c r="P247" s="359">
        <f t="shared" si="178"/>
        <v>1</v>
      </c>
      <c r="Q247" s="359">
        <f t="shared" si="178"/>
        <v>1</v>
      </c>
      <c r="R247" s="359">
        <f t="shared" si="178"/>
        <v>1</v>
      </c>
      <c r="S247" s="359">
        <v>2</v>
      </c>
      <c r="T247" s="359">
        <f t="shared" si="178"/>
        <v>2</v>
      </c>
      <c r="U247" s="359">
        <f t="shared" si="178"/>
        <v>2</v>
      </c>
      <c r="V247" s="360">
        <f t="shared" si="178"/>
        <v>2</v>
      </c>
      <c r="W247" s="332" t="str">
        <f t="shared" si="175"/>
        <v>true</v>
      </c>
    </row>
    <row r="248" spans="2:23" s="25" customFormat="1" ht="12.75">
      <c r="B248" s="128"/>
      <c r="C248" s="767" t="s">
        <v>196</v>
      </c>
      <c r="D248" s="48"/>
      <c r="E248" s="48"/>
      <c r="F248" s="51"/>
      <c r="G248" s="49"/>
      <c r="H248" s="753"/>
      <c r="I248" s="754"/>
      <c r="J248" s="755"/>
      <c r="K248" s="533"/>
      <c r="L248" s="359"/>
      <c r="M248" s="359"/>
      <c r="N248" s="359"/>
      <c r="O248" s="359"/>
      <c r="P248" s="359"/>
      <c r="Q248" s="359"/>
      <c r="R248" s="359"/>
      <c r="S248" s="359"/>
      <c r="T248" s="359"/>
      <c r="U248" s="359"/>
      <c r="V248" s="360"/>
      <c r="W248" s="332" t="str">
        <f t="shared" si="175"/>
        <v>true</v>
      </c>
    </row>
    <row r="249" spans="2:23" s="25" customFormat="1" ht="12.75">
      <c r="B249" s="128"/>
      <c r="C249" s="762" t="s">
        <v>197</v>
      </c>
      <c r="D249" s="48" t="s">
        <v>168</v>
      </c>
      <c r="E249" s="48" t="s">
        <v>232</v>
      </c>
      <c r="F249" s="359">
        <v>1</v>
      </c>
      <c r="G249" s="49"/>
      <c r="H249" s="753">
        <f t="shared" si="171"/>
        <v>18750</v>
      </c>
      <c r="I249" s="754">
        <f>VLOOKUP(E249,$E$35:$I$56,3,FALSE)</f>
        <v>18750</v>
      </c>
      <c r="J249" s="755">
        <f t="shared" si="172"/>
        <v>1562.5</v>
      </c>
      <c r="K249" s="533">
        <f t="shared" ref="K249" si="180">F249</f>
        <v>1</v>
      </c>
      <c r="L249" s="359">
        <f t="shared" ref="L249:V251" si="181">K249</f>
        <v>1</v>
      </c>
      <c r="M249" s="359">
        <f t="shared" si="181"/>
        <v>1</v>
      </c>
      <c r="N249" s="359">
        <f t="shared" si="181"/>
        <v>1</v>
      </c>
      <c r="O249" s="359">
        <f t="shared" si="181"/>
        <v>1</v>
      </c>
      <c r="P249" s="359">
        <f t="shared" si="181"/>
        <v>1</v>
      </c>
      <c r="Q249" s="359">
        <f t="shared" si="181"/>
        <v>1</v>
      </c>
      <c r="R249" s="359">
        <f t="shared" si="181"/>
        <v>1</v>
      </c>
      <c r="S249" s="359">
        <f t="shared" si="181"/>
        <v>1</v>
      </c>
      <c r="T249" s="359">
        <f t="shared" si="181"/>
        <v>1</v>
      </c>
      <c r="U249" s="359">
        <f t="shared" si="181"/>
        <v>1</v>
      </c>
      <c r="V249" s="360">
        <f t="shared" si="181"/>
        <v>1</v>
      </c>
      <c r="W249" s="332" t="str">
        <f t="shared" si="175"/>
        <v>true</v>
      </c>
    </row>
    <row r="250" spans="2:23" s="25" customFormat="1" ht="12.75">
      <c r="B250" s="128"/>
      <c r="C250" s="762" t="s">
        <v>178</v>
      </c>
      <c r="D250" s="48" t="s">
        <v>168</v>
      </c>
      <c r="E250" s="48" t="str">
        <f t="shared" ref="E250:E251" si="182">CONCATENATE(C250,D250)</f>
        <v>AssociateFT</v>
      </c>
      <c r="F250" s="359">
        <v>1</v>
      </c>
      <c r="G250" s="49"/>
      <c r="H250" s="753">
        <f t="shared" si="171"/>
        <v>2187.5</v>
      </c>
      <c r="I250" s="754">
        <f>VLOOKUP(E250,$E$35:$I$56,3,FALSE)</f>
        <v>3750</v>
      </c>
      <c r="J250" s="755">
        <f t="shared" si="172"/>
        <v>312.5</v>
      </c>
      <c r="K250" s="533"/>
      <c r="L250" s="359">
        <f t="shared" si="181"/>
        <v>0</v>
      </c>
      <c r="M250" s="359">
        <f t="shared" si="181"/>
        <v>0</v>
      </c>
      <c r="N250" s="359">
        <f t="shared" si="181"/>
        <v>0</v>
      </c>
      <c r="O250" s="359">
        <f t="shared" si="181"/>
        <v>0</v>
      </c>
      <c r="P250" s="359">
        <v>1</v>
      </c>
      <c r="Q250" s="359">
        <f t="shared" si="181"/>
        <v>1</v>
      </c>
      <c r="R250" s="359">
        <f t="shared" si="181"/>
        <v>1</v>
      </c>
      <c r="S250" s="359">
        <f t="shared" si="181"/>
        <v>1</v>
      </c>
      <c r="T250" s="359">
        <f t="shared" si="181"/>
        <v>1</v>
      </c>
      <c r="U250" s="359">
        <f t="shared" si="181"/>
        <v>1</v>
      </c>
      <c r="V250" s="360">
        <f t="shared" si="181"/>
        <v>1</v>
      </c>
      <c r="W250" s="332" t="str">
        <f t="shared" si="175"/>
        <v>true</v>
      </c>
    </row>
    <row r="251" spans="2:23" s="25" customFormat="1" ht="12.75">
      <c r="B251" s="128"/>
      <c r="C251" s="762" t="s">
        <v>178</v>
      </c>
      <c r="D251" s="48" t="s">
        <v>182</v>
      </c>
      <c r="E251" s="48" t="str">
        <f t="shared" si="182"/>
        <v>AssociatePT</v>
      </c>
      <c r="F251" s="359">
        <v>0</v>
      </c>
      <c r="G251" s="49"/>
      <c r="H251" s="753">
        <f t="shared" si="171"/>
        <v>0</v>
      </c>
      <c r="I251" s="754">
        <f>VLOOKUP(E251,$E$35:$I$56,3,FALSE)</f>
        <v>1500</v>
      </c>
      <c r="J251" s="755">
        <f t="shared" si="172"/>
        <v>125</v>
      </c>
      <c r="K251" s="533">
        <v>0</v>
      </c>
      <c r="L251" s="359">
        <v>0</v>
      </c>
      <c r="M251" s="359">
        <f t="shared" si="181"/>
        <v>0</v>
      </c>
      <c r="N251" s="359">
        <f t="shared" si="181"/>
        <v>0</v>
      </c>
      <c r="O251" s="359">
        <f t="shared" si="181"/>
        <v>0</v>
      </c>
      <c r="P251" s="359">
        <f t="shared" si="181"/>
        <v>0</v>
      </c>
      <c r="Q251" s="359">
        <f t="shared" si="181"/>
        <v>0</v>
      </c>
      <c r="R251" s="359">
        <f t="shared" si="181"/>
        <v>0</v>
      </c>
      <c r="S251" s="359">
        <f t="shared" si="181"/>
        <v>0</v>
      </c>
      <c r="T251" s="359">
        <f t="shared" si="181"/>
        <v>0</v>
      </c>
      <c r="U251" s="359">
        <f t="shared" si="181"/>
        <v>0</v>
      </c>
      <c r="V251" s="360">
        <v>0</v>
      </c>
      <c r="W251" s="332" t="str">
        <f t="shared" si="175"/>
        <v>true</v>
      </c>
    </row>
    <row r="252" spans="2:23" s="25" customFormat="1" ht="12.75">
      <c r="B252" s="128"/>
      <c r="C252" s="767" t="s">
        <v>198</v>
      </c>
      <c r="D252" s="48"/>
      <c r="E252" s="48"/>
      <c r="F252" s="51"/>
      <c r="G252" s="49"/>
      <c r="H252" s="753"/>
      <c r="I252" s="754"/>
      <c r="J252" s="755"/>
      <c r="K252" s="533"/>
      <c r="L252" s="359"/>
      <c r="M252" s="359"/>
      <c r="N252" s="359"/>
      <c r="O252" s="359"/>
      <c r="P252" s="359"/>
      <c r="Q252" s="359"/>
      <c r="R252" s="359"/>
      <c r="S252" s="359"/>
      <c r="T252" s="359"/>
      <c r="U252" s="359"/>
      <c r="V252" s="360"/>
      <c r="W252" s="332" t="str">
        <f t="shared" si="175"/>
        <v>true</v>
      </c>
    </row>
    <row r="253" spans="2:23" s="25" customFormat="1" ht="12.75">
      <c r="B253" s="128"/>
      <c r="C253" s="762" t="s">
        <v>199</v>
      </c>
      <c r="D253" s="48" t="s">
        <v>168</v>
      </c>
      <c r="E253" s="48" t="str">
        <f t="shared" ref="E253:E258" si="183">CONCATENATE($C$252,D253)</f>
        <v>OthersFT</v>
      </c>
      <c r="F253" s="359">
        <v>4</v>
      </c>
      <c r="G253" s="49"/>
      <c r="H253" s="753">
        <f t="shared" si="171"/>
        <v>3750</v>
      </c>
      <c r="I253" s="754">
        <f t="shared" ref="I253:I258" si="184">VLOOKUP(E253,$E$35:$I$56,3,FALSE)</f>
        <v>1250</v>
      </c>
      <c r="J253" s="755">
        <f t="shared" si="172"/>
        <v>104.16666666666667</v>
      </c>
      <c r="K253" s="533">
        <v>2</v>
      </c>
      <c r="L253" s="359">
        <f t="shared" ref="L253:L258" si="185">K253</f>
        <v>2</v>
      </c>
      <c r="M253" s="359">
        <f t="shared" ref="M253:V258" si="186">L253</f>
        <v>2</v>
      </c>
      <c r="N253" s="359">
        <f t="shared" si="186"/>
        <v>2</v>
      </c>
      <c r="O253" s="359">
        <f t="shared" si="186"/>
        <v>2</v>
      </c>
      <c r="P253" s="359">
        <f t="shared" si="186"/>
        <v>2</v>
      </c>
      <c r="Q253" s="359">
        <v>4</v>
      </c>
      <c r="R253" s="359">
        <f t="shared" si="186"/>
        <v>4</v>
      </c>
      <c r="S253" s="359">
        <f t="shared" si="186"/>
        <v>4</v>
      </c>
      <c r="T253" s="359">
        <f t="shared" si="186"/>
        <v>4</v>
      </c>
      <c r="U253" s="359">
        <f t="shared" si="186"/>
        <v>4</v>
      </c>
      <c r="V253" s="360">
        <f t="shared" si="186"/>
        <v>4</v>
      </c>
      <c r="W253" s="332" t="str">
        <f t="shared" si="175"/>
        <v>true</v>
      </c>
    </row>
    <row r="254" spans="2:23" s="25" customFormat="1" ht="12.75">
      <c r="B254" s="128"/>
      <c r="C254" s="762" t="s">
        <v>200</v>
      </c>
      <c r="D254" s="48" t="s">
        <v>182</v>
      </c>
      <c r="E254" s="48" t="str">
        <f t="shared" si="183"/>
        <v>OthersPT</v>
      </c>
      <c r="F254" s="359">
        <v>1</v>
      </c>
      <c r="G254" s="49"/>
      <c r="H254" s="753">
        <f t="shared" si="171"/>
        <v>500</v>
      </c>
      <c r="I254" s="754">
        <f t="shared" si="184"/>
        <v>500</v>
      </c>
      <c r="J254" s="755">
        <f t="shared" si="172"/>
        <v>41.666666666666664</v>
      </c>
      <c r="K254" s="533">
        <v>1</v>
      </c>
      <c r="L254" s="359">
        <f t="shared" si="185"/>
        <v>1</v>
      </c>
      <c r="M254" s="359">
        <f t="shared" si="186"/>
        <v>1</v>
      </c>
      <c r="N254" s="359">
        <f t="shared" si="186"/>
        <v>1</v>
      </c>
      <c r="O254" s="359">
        <f t="shared" si="186"/>
        <v>1</v>
      </c>
      <c r="P254" s="359">
        <f t="shared" si="186"/>
        <v>1</v>
      </c>
      <c r="Q254" s="359">
        <v>1</v>
      </c>
      <c r="R254" s="359">
        <f t="shared" si="186"/>
        <v>1</v>
      </c>
      <c r="S254" s="359">
        <f t="shared" si="186"/>
        <v>1</v>
      </c>
      <c r="T254" s="359">
        <f t="shared" si="186"/>
        <v>1</v>
      </c>
      <c r="U254" s="359">
        <f t="shared" si="186"/>
        <v>1</v>
      </c>
      <c r="V254" s="360">
        <f t="shared" si="186"/>
        <v>1</v>
      </c>
      <c r="W254" s="332" t="str">
        <f t="shared" si="175"/>
        <v>true</v>
      </c>
    </row>
    <row r="255" spans="2:23" s="25" customFormat="1" ht="12.75">
      <c r="B255" s="128"/>
      <c r="C255" s="762" t="s">
        <v>201</v>
      </c>
      <c r="D255" s="48" t="s">
        <v>168</v>
      </c>
      <c r="E255" s="48" t="str">
        <f t="shared" si="183"/>
        <v>OthersFT</v>
      </c>
      <c r="F255" s="359">
        <v>1</v>
      </c>
      <c r="G255" s="49"/>
      <c r="H255" s="753">
        <f t="shared" si="171"/>
        <v>1041.6666666666667</v>
      </c>
      <c r="I255" s="754">
        <f t="shared" si="184"/>
        <v>1250</v>
      </c>
      <c r="J255" s="755">
        <f t="shared" si="172"/>
        <v>104.16666666666667</v>
      </c>
      <c r="K255" s="533">
        <v>0</v>
      </c>
      <c r="L255" s="359">
        <f t="shared" si="185"/>
        <v>0</v>
      </c>
      <c r="M255" s="359">
        <v>1</v>
      </c>
      <c r="N255" s="359">
        <f t="shared" si="186"/>
        <v>1</v>
      </c>
      <c r="O255" s="359">
        <f t="shared" si="186"/>
        <v>1</v>
      </c>
      <c r="P255" s="359">
        <f t="shared" si="186"/>
        <v>1</v>
      </c>
      <c r="Q255" s="359">
        <f t="shared" si="186"/>
        <v>1</v>
      </c>
      <c r="R255" s="359">
        <f t="shared" si="186"/>
        <v>1</v>
      </c>
      <c r="S255" s="359">
        <f t="shared" si="186"/>
        <v>1</v>
      </c>
      <c r="T255" s="359">
        <f t="shared" si="186"/>
        <v>1</v>
      </c>
      <c r="U255" s="359">
        <f t="shared" si="186"/>
        <v>1</v>
      </c>
      <c r="V255" s="360">
        <v>1</v>
      </c>
      <c r="W255" s="332" t="str">
        <f t="shared" si="175"/>
        <v>true</v>
      </c>
    </row>
    <row r="256" spans="2:23" s="25" customFormat="1" ht="12.75">
      <c r="B256" s="128"/>
      <c r="C256" s="762" t="s">
        <v>202</v>
      </c>
      <c r="D256" s="48" t="s">
        <v>182</v>
      </c>
      <c r="E256" s="48" t="str">
        <f t="shared" si="183"/>
        <v>OthersPT</v>
      </c>
      <c r="F256" s="359">
        <v>1</v>
      </c>
      <c r="G256" s="49"/>
      <c r="H256" s="753">
        <f t="shared" si="171"/>
        <v>500</v>
      </c>
      <c r="I256" s="754">
        <f t="shared" si="184"/>
        <v>500</v>
      </c>
      <c r="J256" s="755">
        <f t="shared" si="172"/>
        <v>41.666666666666664</v>
      </c>
      <c r="K256" s="533">
        <v>1</v>
      </c>
      <c r="L256" s="359">
        <f t="shared" si="185"/>
        <v>1</v>
      </c>
      <c r="M256" s="359">
        <f t="shared" si="186"/>
        <v>1</v>
      </c>
      <c r="N256" s="359">
        <f t="shared" si="186"/>
        <v>1</v>
      </c>
      <c r="O256" s="359">
        <v>1</v>
      </c>
      <c r="P256" s="359">
        <f t="shared" si="186"/>
        <v>1</v>
      </c>
      <c r="Q256" s="359">
        <f t="shared" si="186"/>
        <v>1</v>
      </c>
      <c r="R256" s="359">
        <f t="shared" si="186"/>
        <v>1</v>
      </c>
      <c r="S256" s="359">
        <v>1</v>
      </c>
      <c r="T256" s="359">
        <f t="shared" si="186"/>
        <v>1</v>
      </c>
      <c r="U256" s="359">
        <f t="shared" si="186"/>
        <v>1</v>
      </c>
      <c r="V256" s="360">
        <f t="shared" si="186"/>
        <v>1</v>
      </c>
      <c r="W256" s="332" t="str">
        <f t="shared" si="175"/>
        <v>true</v>
      </c>
    </row>
    <row r="257" spans="2:23" s="25" customFormat="1" ht="12.75">
      <c r="B257" s="128"/>
      <c r="C257" s="762" t="s">
        <v>203</v>
      </c>
      <c r="D257" s="48" t="s">
        <v>182</v>
      </c>
      <c r="E257" s="48" t="str">
        <f t="shared" si="183"/>
        <v>OthersPT</v>
      </c>
      <c r="F257" s="359">
        <v>2</v>
      </c>
      <c r="G257" s="49"/>
      <c r="H257" s="753">
        <f t="shared" si="171"/>
        <v>750</v>
      </c>
      <c r="I257" s="754">
        <f t="shared" si="184"/>
        <v>500</v>
      </c>
      <c r="J257" s="755">
        <f t="shared" si="172"/>
        <v>41.666666666666664</v>
      </c>
      <c r="K257" s="533">
        <v>1</v>
      </c>
      <c r="L257" s="359">
        <f t="shared" si="185"/>
        <v>1</v>
      </c>
      <c r="M257" s="359">
        <f t="shared" si="186"/>
        <v>1</v>
      </c>
      <c r="N257" s="359">
        <f t="shared" si="186"/>
        <v>1</v>
      </c>
      <c r="O257" s="359">
        <v>1</v>
      </c>
      <c r="P257" s="359">
        <f t="shared" si="186"/>
        <v>1</v>
      </c>
      <c r="Q257" s="359">
        <v>2</v>
      </c>
      <c r="R257" s="359">
        <v>2</v>
      </c>
      <c r="S257" s="359">
        <v>2</v>
      </c>
      <c r="T257" s="359">
        <f t="shared" si="186"/>
        <v>2</v>
      </c>
      <c r="U257" s="359">
        <f t="shared" si="186"/>
        <v>2</v>
      </c>
      <c r="V257" s="360">
        <f t="shared" si="186"/>
        <v>2</v>
      </c>
      <c r="W257" s="332" t="str">
        <f t="shared" si="175"/>
        <v>true</v>
      </c>
    </row>
    <row r="258" spans="2:23" s="25" customFormat="1" ht="12.75">
      <c r="B258" s="128"/>
      <c r="C258" s="763" t="s">
        <v>204</v>
      </c>
      <c r="D258" s="61" t="s">
        <v>182</v>
      </c>
      <c r="E258" s="61" t="str">
        <f t="shared" si="183"/>
        <v>OthersPT</v>
      </c>
      <c r="F258" s="563">
        <v>1</v>
      </c>
      <c r="G258" s="62"/>
      <c r="H258" s="756">
        <f t="shared" si="171"/>
        <v>500</v>
      </c>
      <c r="I258" s="757">
        <f t="shared" si="184"/>
        <v>500</v>
      </c>
      <c r="J258" s="760">
        <f t="shared" si="172"/>
        <v>41.666666666666664</v>
      </c>
      <c r="K258" s="566">
        <v>1</v>
      </c>
      <c r="L258" s="563">
        <f t="shared" si="185"/>
        <v>1</v>
      </c>
      <c r="M258" s="563">
        <f t="shared" si="186"/>
        <v>1</v>
      </c>
      <c r="N258" s="563">
        <f t="shared" si="186"/>
        <v>1</v>
      </c>
      <c r="O258" s="563">
        <f t="shared" si="186"/>
        <v>1</v>
      </c>
      <c r="P258" s="563">
        <v>1</v>
      </c>
      <c r="Q258" s="563">
        <v>1</v>
      </c>
      <c r="R258" s="563">
        <f t="shared" si="186"/>
        <v>1</v>
      </c>
      <c r="S258" s="563">
        <f t="shared" si="186"/>
        <v>1</v>
      </c>
      <c r="T258" s="563">
        <f t="shared" si="186"/>
        <v>1</v>
      </c>
      <c r="U258" s="563">
        <f t="shared" si="186"/>
        <v>1</v>
      </c>
      <c r="V258" s="564">
        <f t="shared" si="186"/>
        <v>1</v>
      </c>
      <c r="W258" s="332" t="str">
        <f t="shared" si="175"/>
        <v>true</v>
      </c>
    </row>
    <row r="259" spans="2:23" s="25" customFormat="1" ht="12.75" hidden="1">
      <c r="B259" s="128" t="s">
        <v>192</v>
      </c>
      <c r="F259" s="32">
        <f>SUM(F241:F243)</f>
        <v>10</v>
      </c>
      <c r="G259" s="128"/>
      <c r="H259" s="187">
        <f>SUM(H241:H243)</f>
        <v>31500</v>
      </c>
      <c r="I259" s="332"/>
      <c r="J259" s="332"/>
      <c r="W259" s="332"/>
    </row>
    <row r="260" spans="2:23" s="25" customFormat="1" ht="12.75" hidden="1">
      <c r="B260" s="128" t="s">
        <v>194</v>
      </c>
      <c r="F260" s="32">
        <f>SUM(F245:F247)</f>
        <v>5</v>
      </c>
      <c r="G260" s="128"/>
      <c r="H260" s="187">
        <f>SUM(H245:H247)</f>
        <v>25875</v>
      </c>
      <c r="I260" s="332"/>
      <c r="J260" s="332"/>
      <c r="W260" s="332"/>
    </row>
    <row r="261" spans="2:23" s="25" customFormat="1" ht="12.75" hidden="1">
      <c r="B261" s="128" t="s">
        <v>196</v>
      </c>
      <c r="F261" s="32">
        <f>SUM(F249:F251)</f>
        <v>2</v>
      </c>
      <c r="G261" s="128"/>
      <c r="H261" s="187">
        <f>SUM(H249:H251)</f>
        <v>20937.5</v>
      </c>
      <c r="I261" s="332"/>
      <c r="J261" s="332"/>
      <c r="W261" s="332"/>
    </row>
    <row r="262" spans="2:23" s="25" customFormat="1" ht="12.75" hidden="1">
      <c r="B262" s="128" t="s">
        <v>198</v>
      </c>
      <c r="F262" s="32">
        <f>SUM(F253:F258)</f>
        <v>10</v>
      </c>
      <c r="G262" s="128"/>
      <c r="H262" s="187">
        <f>SUM(H253:H258)</f>
        <v>7041.666666666667</v>
      </c>
      <c r="I262" s="332"/>
      <c r="J262" s="332"/>
      <c r="W262" s="332"/>
    </row>
    <row r="263" spans="2:23" s="25" customFormat="1" ht="12.75">
      <c r="B263" s="128"/>
      <c r="F263" s="32"/>
      <c r="G263" s="197"/>
      <c r="H263" s="197"/>
      <c r="I263" s="332"/>
      <c r="J263" s="332"/>
      <c r="W263" s="332"/>
    </row>
    <row r="264" spans="2:23" s="25" customFormat="1" ht="12.75">
      <c r="B264" s="128"/>
      <c r="G264" s="128"/>
      <c r="H264" s="128"/>
      <c r="I264" s="768" t="s">
        <v>330</v>
      </c>
      <c r="J264" s="769"/>
      <c r="K264" s="524">
        <f>SUM(K171:K258)</f>
        <v>54</v>
      </c>
      <c r="L264" s="524">
        <f t="shared" ref="L264:V264" si="187">SUM(L171:L258)</f>
        <v>54</v>
      </c>
      <c r="M264" s="524">
        <f t="shared" si="187"/>
        <v>56</v>
      </c>
      <c r="N264" s="524">
        <f t="shared" si="187"/>
        <v>60</v>
      </c>
      <c r="O264" s="524">
        <f t="shared" si="187"/>
        <v>62</v>
      </c>
      <c r="P264" s="524">
        <f t="shared" si="187"/>
        <v>64</v>
      </c>
      <c r="Q264" s="524">
        <f t="shared" si="187"/>
        <v>70</v>
      </c>
      <c r="R264" s="524">
        <f t="shared" si="187"/>
        <v>73</v>
      </c>
      <c r="S264" s="524">
        <f t="shared" si="187"/>
        <v>75</v>
      </c>
      <c r="T264" s="524">
        <f t="shared" si="187"/>
        <v>75</v>
      </c>
      <c r="U264" s="524">
        <f t="shared" si="187"/>
        <v>75</v>
      </c>
      <c r="V264" s="529">
        <f t="shared" si="187"/>
        <v>75</v>
      </c>
      <c r="W264" s="332"/>
    </row>
    <row r="265" spans="2:23" s="25" customFormat="1" ht="12.75">
      <c r="B265" s="128"/>
      <c r="F265" s="764"/>
      <c r="G265" s="197"/>
      <c r="H265" s="197"/>
      <c r="I265" s="770" t="s">
        <v>336</v>
      </c>
      <c r="J265" s="751"/>
      <c r="K265" s="751">
        <f t="shared" ref="K265:V265" si="188">SUMIF($C$170:$C$258,$C230,K170:K258)</f>
        <v>11</v>
      </c>
      <c r="L265" s="751">
        <f t="shared" si="188"/>
        <v>11</v>
      </c>
      <c r="M265" s="751">
        <f t="shared" si="188"/>
        <v>12</v>
      </c>
      <c r="N265" s="751">
        <f t="shared" si="188"/>
        <v>12</v>
      </c>
      <c r="O265" s="751">
        <f t="shared" si="188"/>
        <v>12</v>
      </c>
      <c r="P265" s="751">
        <f t="shared" si="188"/>
        <v>12</v>
      </c>
      <c r="Q265" s="751">
        <f t="shared" si="188"/>
        <v>12</v>
      </c>
      <c r="R265" s="751">
        <f t="shared" si="188"/>
        <v>12</v>
      </c>
      <c r="S265" s="751">
        <f t="shared" si="188"/>
        <v>12</v>
      </c>
      <c r="T265" s="751">
        <f t="shared" si="188"/>
        <v>12</v>
      </c>
      <c r="U265" s="751">
        <f t="shared" si="188"/>
        <v>12</v>
      </c>
      <c r="V265" s="752">
        <f t="shared" si="188"/>
        <v>12</v>
      </c>
      <c r="W265" s="332"/>
    </row>
    <row r="266" spans="2:23" s="25" customFormat="1" ht="12.75">
      <c r="B266" s="128"/>
      <c r="F266" s="764"/>
      <c r="G266" s="197"/>
      <c r="H266" s="197"/>
      <c r="I266" s="771" t="s">
        <v>337</v>
      </c>
      <c r="J266" s="547"/>
      <c r="K266" s="547">
        <f t="shared" ref="K266:V266" si="189">SUMIF($C$170:$C$258,$C233,K$170:K$258)</f>
        <v>9</v>
      </c>
      <c r="L266" s="547">
        <f t="shared" si="189"/>
        <v>9</v>
      </c>
      <c r="M266" s="547">
        <f t="shared" si="189"/>
        <v>9</v>
      </c>
      <c r="N266" s="547">
        <f t="shared" si="189"/>
        <v>9</v>
      </c>
      <c r="O266" s="547">
        <f t="shared" si="189"/>
        <v>9</v>
      </c>
      <c r="P266" s="547">
        <f t="shared" si="189"/>
        <v>9</v>
      </c>
      <c r="Q266" s="547">
        <f t="shared" si="189"/>
        <v>11</v>
      </c>
      <c r="R266" s="547">
        <f t="shared" si="189"/>
        <v>11</v>
      </c>
      <c r="S266" s="547">
        <f t="shared" si="189"/>
        <v>11</v>
      </c>
      <c r="T266" s="547">
        <f t="shared" si="189"/>
        <v>11</v>
      </c>
      <c r="U266" s="547">
        <f t="shared" si="189"/>
        <v>11</v>
      </c>
      <c r="V266" s="737">
        <f t="shared" si="189"/>
        <v>11</v>
      </c>
      <c r="W266" s="332"/>
    </row>
    <row r="267" spans="2:23" s="25" customFormat="1" ht="12.75">
      <c r="B267" s="128"/>
      <c r="F267" s="764"/>
      <c r="G267" s="197"/>
      <c r="H267" s="197"/>
      <c r="I267" s="771" t="s">
        <v>338</v>
      </c>
      <c r="J267" s="547"/>
      <c r="K267" s="547">
        <f t="shared" ref="K267:V267" si="190">SUMIF($C$170:$C$258,$C232,K$170:K$258)</f>
        <v>12</v>
      </c>
      <c r="L267" s="547">
        <f t="shared" si="190"/>
        <v>12</v>
      </c>
      <c r="M267" s="547">
        <f t="shared" si="190"/>
        <v>12</v>
      </c>
      <c r="N267" s="547">
        <f t="shared" si="190"/>
        <v>12</v>
      </c>
      <c r="O267" s="547">
        <f t="shared" si="190"/>
        <v>12</v>
      </c>
      <c r="P267" s="547">
        <f t="shared" si="190"/>
        <v>13</v>
      </c>
      <c r="Q267" s="547">
        <f t="shared" si="190"/>
        <v>13</v>
      </c>
      <c r="R267" s="547">
        <f t="shared" si="190"/>
        <v>13</v>
      </c>
      <c r="S267" s="547">
        <f t="shared" si="190"/>
        <v>13</v>
      </c>
      <c r="T267" s="547">
        <f t="shared" si="190"/>
        <v>13</v>
      </c>
      <c r="U267" s="547">
        <f t="shared" si="190"/>
        <v>13</v>
      </c>
      <c r="V267" s="737">
        <f t="shared" si="190"/>
        <v>13</v>
      </c>
      <c r="W267" s="332"/>
    </row>
    <row r="268" spans="2:23" s="25" customFormat="1" ht="12.75">
      <c r="B268" s="128"/>
      <c r="F268" s="764"/>
      <c r="G268" s="197"/>
      <c r="H268" s="197"/>
      <c r="I268" s="771" t="s">
        <v>343</v>
      </c>
      <c r="J268" s="547"/>
      <c r="K268" s="547">
        <f>K269-SUM(K270:K272)</f>
        <v>18</v>
      </c>
      <c r="L268" s="547">
        <f t="shared" ref="L268:R268" si="191">L269-SUM(L270:L272)</f>
        <v>18</v>
      </c>
      <c r="M268" s="547">
        <f t="shared" si="191"/>
        <v>19</v>
      </c>
      <c r="N268" s="547">
        <f t="shared" si="191"/>
        <v>20</v>
      </c>
      <c r="O268" s="547">
        <f t="shared" si="191"/>
        <v>21</v>
      </c>
      <c r="P268" s="547">
        <f t="shared" si="191"/>
        <v>22</v>
      </c>
      <c r="Q268" s="547">
        <f t="shared" si="191"/>
        <v>25</v>
      </c>
      <c r="R268" s="547">
        <f t="shared" si="191"/>
        <v>25</v>
      </c>
      <c r="S268" s="547">
        <f t="shared" ref="S268" si="192">S269-SUM(S270:S272)</f>
        <v>26</v>
      </c>
      <c r="T268" s="547">
        <f t="shared" ref="T268" si="193">T269-SUM(T270:T272)</f>
        <v>26</v>
      </c>
      <c r="U268" s="547">
        <f t="shared" ref="U268" si="194">U269-SUM(U270:U272)</f>
        <v>26</v>
      </c>
      <c r="V268" s="741">
        <f t="shared" ref="V268" si="195">V269-SUM(V270:V272)</f>
        <v>26</v>
      </c>
      <c r="W268" s="332"/>
    </row>
    <row r="269" spans="2:23" s="25" customFormat="1" ht="12.75">
      <c r="B269" s="128"/>
      <c r="F269" s="764"/>
      <c r="G269" s="197"/>
      <c r="H269" s="197"/>
      <c r="I269" s="770" t="s">
        <v>342</v>
      </c>
      <c r="J269" s="751"/>
      <c r="K269" s="751">
        <f t="shared" ref="K269:V269" si="196">SUMIF($D$170:$D$258,$D$171,K170:K258)</f>
        <v>47</v>
      </c>
      <c r="L269" s="751">
        <f t="shared" si="196"/>
        <v>47</v>
      </c>
      <c r="M269" s="751">
        <f t="shared" si="196"/>
        <v>48</v>
      </c>
      <c r="N269" s="751">
        <f t="shared" si="196"/>
        <v>49</v>
      </c>
      <c r="O269" s="751">
        <f t="shared" si="196"/>
        <v>50</v>
      </c>
      <c r="P269" s="751">
        <f t="shared" si="196"/>
        <v>52</v>
      </c>
      <c r="Q269" s="751">
        <f t="shared" si="196"/>
        <v>57</v>
      </c>
      <c r="R269" s="751">
        <f t="shared" si="196"/>
        <v>57</v>
      </c>
      <c r="S269" s="751">
        <f t="shared" si="196"/>
        <v>58</v>
      </c>
      <c r="T269" s="751">
        <f t="shared" si="196"/>
        <v>58</v>
      </c>
      <c r="U269" s="751">
        <f t="shared" si="196"/>
        <v>58</v>
      </c>
      <c r="V269" s="752">
        <f t="shared" si="196"/>
        <v>58</v>
      </c>
      <c r="W269" s="332"/>
    </row>
    <row r="270" spans="2:23" s="25" customFormat="1" ht="12.75">
      <c r="B270" s="128"/>
      <c r="F270" s="764"/>
      <c r="G270" s="197"/>
      <c r="H270" s="197"/>
      <c r="I270" s="771" t="s">
        <v>339</v>
      </c>
      <c r="J270" s="547"/>
      <c r="K270" s="547">
        <f t="shared" ref="K270:V270" si="197">SUMIF($E$171:$E$259,$E$224,K$171:K$259)</f>
        <v>8</v>
      </c>
      <c r="L270" s="547">
        <f t="shared" si="197"/>
        <v>8</v>
      </c>
      <c r="M270" s="547">
        <f t="shared" si="197"/>
        <v>8</v>
      </c>
      <c r="N270" s="547">
        <f t="shared" si="197"/>
        <v>8</v>
      </c>
      <c r="O270" s="547">
        <f t="shared" si="197"/>
        <v>8</v>
      </c>
      <c r="P270" s="547">
        <f t="shared" si="197"/>
        <v>8</v>
      </c>
      <c r="Q270" s="547">
        <f t="shared" si="197"/>
        <v>8</v>
      </c>
      <c r="R270" s="547">
        <f t="shared" si="197"/>
        <v>8</v>
      </c>
      <c r="S270" s="547">
        <f t="shared" si="197"/>
        <v>8</v>
      </c>
      <c r="T270" s="547">
        <f t="shared" si="197"/>
        <v>8</v>
      </c>
      <c r="U270" s="547">
        <f t="shared" si="197"/>
        <v>8</v>
      </c>
      <c r="V270" s="737">
        <f t="shared" si="197"/>
        <v>8</v>
      </c>
      <c r="W270" s="332"/>
    </row>
    <row r="271" spans="2:23" s="25" customFormat="1" ht="12.75">
      <c r="B271" s="128"/>
      <c r="G271" s="128"/>
      <c r="H271" s="128"/>
      <c r="I271" s="771" t="s">
        <v>340</v>
      </c>
      <c r="J271" s="547"/>
      <c r="K271" s="547">
        <f t="shared" ref="K271:V271" si="198">SUMIF($E$171:$E$259,$E$227,K$171:K$259)</f>
        <v>9</v>
      </c>
      <c r="L271" s="547">
        <f t="shared" si="198"/>
        <v>9</v>
      </c>
      <c r="M271" s="547">
        <f t="shared" si="198"/>
        <v>9</v>
      </c>
      <c r="N271" s="547">
        <f t="shared" si="198"/>
        <v>9</v>
      </c>
      <c r="O271" s="547">
        <f t="shared" si="198"/>
        <v>9</v>
      </c>
      <c r="P271" s="547">
        <f t="shared" si="198"/>
        <v>9</v>
      </c>
      <c r="Q271" s="547">
        <f t="shared" si="198"/>
        <v>11</v>
      </c>
      <c r="R271" s="547">
        <f t="shared" si="198"/>
        <v>11</v>
      </c>
      <c r="S271" s="547">
        <f t="shared" si="198"/>
        <v>11</v>
      </c>
      <c r="T271" s="547">
        <f t="shared" si="198"/>
        <v>11</v>
      </c>
      <c r="U271" s="547">
        <f t="shared" si="198"/>
        <v>11</v>
      </c>
      <c r="V271" s="737">
        <f t="shared" si="198"/>
        <v>11</v>
      </c>
      <c r="W271" s="332"/>
    </row>
    <row r="272" spans="2:23" s="25" customFormat="1" ht="12.75">
      <c r="B272" s="128"/>
      <c r="G272" s="128"/>
      <c r="H272" s="128"/>
      <c r="I272" s="772" t="s">
        <v>341</v>
      </c>
      <c r="J272" s="773"/>
      <c r="K272" s="773">
        <f t="shared" ref="K272:V272" si="199">SUMIF($E$171:$E$259,$E$226,K$171:K$259)</f>
        <v>12</v>
      </c>
      <c r="L272" s="773">
        <f t="shared" si="199"/>
        <v>12</v>
      </c>
      <c r="M272" s="773">
        <f t="shared" si="199"/>
        <v>12</v>
      </c>
      <c r="N272" s="773">
        <f t="shared" si="199"/>
        <v>12</v>
      </c>
      <c r="O272" s="773">
        <f t="shared" si="199"/>
        <v>12</v>
      </c>
      <c r="P272" s="773">
        <f t="shared" si="199"/>
        <v>13</v>
      </c>
      <c r="Q272" s="773">
        <f t="shared" si="199"/>
        <v>13</v>
      </c>
      <c r="R272" s="773">
        <f t="shared" si="199"/>
        <v>13</v>
      </c>
      <c r="S272" s="773">
        <f t="shared" si="199"/>
        <v>13</v>
      </c>
      <c r="T272" s="773">
        <f t="shared" si="199"/>
        <v>13</v>
      </c>
      <c r="U272" s="773">
        <f t="shared" si="199"/>
        <v>13</v>
      </c>
      <c r="V272" s="741">
        <f t="shared" si="199"/>
        <v>13</v>
      </c>
      <c r="W272" s="332"/>
    </row>
    <row r="273" spans="2:23" s="25" customFormat="1" ht="12.75">
      <c r="B273" s="128"/>
      <c r="G273" s="128"/>
      <c r="H273" s="128"/>
      <c r="I273" s="332"/>
      <c r="J273" s="332"/>
      <c r="W273" s="332"/>
    </row>
    <row r="274" spans="2:23" s="25" customFormat="1" ht="12.75">
      <c r="B274" s="128"/>
      <c r="G274" s="128"/>
      <c r="H274" s="128"/>
      <c r="I274" s="332"/>
      <c r="J274" s="332"/>
      <c r="W274" s="332"/>
    </row>
    <row r="275" spans="2:23" s="25" customFormat="1" ht="12.75">
      <c r="B275" s="128"/>
      <c r="G275" s="128"/>
      <c r="H275" s="128"/>
      <c r="I275" s="332"/>
      <c r="J275" s="332"/>
      <c r="W275" s="332"/>
    </row>
    <row r="276" spans="2:23" s="25" customFormat="1" ht="12.75">
      <c r="B276" s="128"/>
      <c r="G276" s="128"/>
      <c r="H276" s="128"/>
      <c r="I276" s="332"/>
      <c r="J276" s="332"/>
      <c r="W276" s="332"/>
    </row>
    <row r="277" spans="2:23" s="25" customFormat="1" ht="12.75">
      <c r="B277" s="128"/>
      <c r="G277" s="128"/>
      <c r="H277" s="128"/>
      <c r="I277" s="332"/>
      <c r="J277" s="332"/>
      <c r="W277" s="332"/>
    </row>
    <row r="278" spans="2:23" s="25" customFormat="1" ht="12.75">
      <c r="B278" s="128"/>
      <c r="G278" s="128"/>
      <c r="H278" s="128"/>
      <c r="I278" s="332"/>
      <c r="J278" s="332"/>
      <c r="W278" s="332"/>
    </row>
    <row r="279" spans="2:23" s="25" customFormat="1" ht="12.75">
      <c r="B279" s="128"/>
      <c r="G279" s="128"/>
      <c r="H279" s="128"/>
      <c r="I279" s="332"/>
      <c r="J279" s="332"/>
      <c r="W279" s="332"/>
    </row>
    <row r="280" spans="2:23" s="25" customFormat="1" ht="12.75">
      <c r="B280" s="128"/>
      <c r="G280" s="128"/>
      <c r="H280" s="128"/>
      <c r="I280" s="332"/>
      <c r="J280" s="332"/>
      <c r="W280" s="332"/>
    </row>
    <row r="281" spans="2:23" s="25" customFormat="1" ht="12.75">
      <c r="B281" s="128"/>
      <c r="G281" s="128"/>
      <c r="H281" s="128"/>
      <c r="I281" s="332"/>
      <c r="J281" s="332"/>
      <c r="W281" s="332"/>
    </row>
    <row r="282" spans="2:23" s="25" customFormat="1" ht="12.75">
      <c r="B282" s="128"/>
      <c r="G282" s="128"/>
      <c r="H282" s="128"/>
      <c r="I282" s="332"/>
      <c r="J282" s="332"/>
      <c r="W282" s="332"/>
    </row>
    <row r="283" spans="2:23" s="25" customFormat="1" ht="12.75">
      <c r="B283" s="128"/>
      <c r="G283" s="128"/>
      <c r="H283" s="128"/>
      <c r="I283" s="332"/>
      <c r="J283" s="332"/>
      <c r="W283" s="332"/>
    </row>
    <row r="284" spans="2:23" s="25" customFormat="1" ht="12.75">
      <c r="B284" s="128"/>
      <c r="G284" s="128"/>
      <c r="H284" s="128"/>
      <c r="I284" s="332"/>
      <c r="J284" s="332"/>
      <c r="W284" s="332"/>
    </row>
    <row r="285" spans="2:23" s="25" customFormat="1" ht="12.75">
      <c r="B285" s="128"/>
      <c r="G285" s="128"/>
      <c r="H285" s="128"/>
      <c r="I285" s="332"/>
      <c r="J285" s="332"/>
      <c r="W285" s="332"/>
    </row>
    <row r="286" spans="2:23" s="25" customFormat="1" ht="12.75">
      <c r="B286" s="128"/>
      <c r="G286" s="128"/>
      <c r="H286" s="128"/>
      <c r="I286" s="332"/>
      <c r="J286" s="332"/>
      <c r="W286" s="332"/>
    </row>
    <row r="287" spans="2:23" s="20" customFormat="1">
      <c r="B287" s="213"/>
      <c r="G287" s="128"/>
      <c r="H287" s="128"/>
      <c r="I287" s="158"/>
      <c r="J287" s="158"/>
      <c r="W287" s="158"/>
    </row>
    <row r="288" spans="2:23" s="20" customFormat="1">
      <c r="B288" s="213"/>
      <c r="G288" s="128"/>
      <c r="H288" s="128"/>
      <c r="I288" s="158"/>
      <c r="J288" s="158"/>
      <c r="W288" s="158"/>
    </row>
    <row r="289" spans="2:23" s="20" customFormat="1">
      <c r="B289" s="213"/>
      <c r="G289" s="128"/>
      <c r="H289" s="128"/>
      <c r="I289" s="158"/>
      <c r="J289" s="158"/>
      <c r="W289" s="158"/>
    </row>
    <row r="290" spans="2:23" s="20" customFormat="1">
      <c r="B290" s="213"/>
      <c r="G290" s="128"/>
      <c r="H290" s="128"/>
      <c r="I290" s="158"/>
      <c r="J290" s="158"/>
      <c r="W290" s="158"/>
    </row>
    <row r="291" spans="2:23" s="20" customFormat="1">
      <c r="B291" s="213"/>
      <c r="G291" s="128"/>
      <c r="H291" s="128"/>
      <c r="I291" s="158"/>
      <c r="J291" s="158"/>
      <c r="W291" s="158"/>
    </row>
    <row r="292" spans="2:23" s="20" customFormat="1">
      <c r="B292" s="213"/>
      <c r="G292" s="128"/>
      <c r="H292" s="128"/>
      <c r="I292" s="158"/>
      <c r="J292" s="158"/>
      <c r="W292" s="158"/>
    </row>
    <row r="293" spans="2:23" s="20" customFormat="1">
      <c r="B293" s="213"/>
      <c r="G293" s="128"/>
      <c r="H293" s="128"/>
      <c r="I293" s="158"/>
      <c r="J293" s="158"/>
      <c r="W293" s="158"/>
    </row>
    <row r="294" spans="2:23" s="20" customFormat="1">
      <c r="B294" s="213"/>
      <c r="G294" s="128"/>
      <c r="H294" s="128"/>
      <c r="I294" s="158"/>
      <c r="J294" s="158"/>
      <c r="W294" s="158"/>
    </row>
    <row r="295" spans="2:23" s="20" customFormat="1">
      <c r="B295" s="213"/>
      <c r="G295" s="128"/>
      <c r="H295" s="128"/>
      <c r="I295" s="158"/>
      <c r="J295" s="158"/>
      <c r="W295" s="158"/>
    </row>
    <row r="296" spans="2:23" s="20" customFormat="1">
      <c r="B296" s="213"/>
      <c r="G296" s="128"/>
      <c r="H296" s="128"/>
      <c r="I296" s="158"/>
      <c r="J296" s="158"/>
      <c r="W296" s="158"/>
    </row>
    <row r="297" spans="2:23" s="20" customFormat="1">
      <c r="B297" s="213"/>
      <c r="G297" s="128"/>
      <c r="H297" s="128"/>
      <c r="I297" s="158"/>
      <c r="J297" s="158"/>
      <c r="W297" s="158"/>
    </row>
    <row r="298" spans="2:23" s="20" customFormat="1">
      <c r="B298" s="213"/>
      <c r="G298" s="128"/>
      <c r="H298" s="128"/>
      <c r="I298" s="158"/>
      <c r="J298" s="158"/>
      <c r="W298" s="158"/>
    </row>
    <row r="299" spans="2:23" s="20" customFormat="1">
      <c r="B299" s="213"/>
      <c r="G299" s="128"/>
      <c r="H299" s="128"/>
      <c r="I299" s="158"/>
      <c r="J299" s="158"/>
      <c r="W299" s="158"/>
    </row>
    <row r="300" spans="2:23" s="20" customFormat="1">
      <c r="B300" s="213"/>
      <c r="G300" s="128"/>
      <c r="H300" s="128"/>
      <c r="I300" s="158"/>
      <c r="J300" s="158"/>
      <c r="W300" s="158"/>
    </row>
    <row r="301" spans="2:23" s="20" customFormat="1">
      <c r="B301" s="213"/>
      <c r="G301" s="128"/>
      <c r="H301" s="128"/>
      <c r="I301" s="158"/>
      <c r="J301" s="158"/>
      <c r="W301" s="158"/>
    </row>
    <row r="302" spans="2:23" s="20" customFormat="1">
      <c r="B302" s="213"/>
      <c r="G302" s="128"/>
      <c r="H302" s="128"/>
      <c r="I302" s="158"/>
      <c r="J302" s="158"/>
      <c r="W302" s="158"/>
    </row>
    <row r="303" spans="2:23" s="20" customFormat="1">
      <c r="B303" s="213"/>
      <c r="G303" s="128"/>
      <c r="H303" s="128"/>
      <c r="I303" s="158"/>
      <c r="J303" s="158"/>
      <c r="W303" s="158"/>
    </row>
    <row r="304" spans="2:23" s="20" customFormat="1">
      <c r="B304" s="213"/>
      <c r="G304" s="128"/>
      <c r="H304" s="128"/>
      <c r="I304" s="158"/>
      <c r="J304" s="158"/>
      <c r="W304" s="158"/>
    </row>
    <row r="305" spans="2:23" s="20" customFormat="1">
      <c r="B305" s="213"/>
      <c r="G305" s="128"/>
      <c r="H305" s="128"/>
      <c r="I305" s="158"/>
      <c r="J305" s="158"/>
      <c r="W305" s="158"/>
    </row>
    <row r="306" spans="2:23" s="20" customFormat="1">
      <c r="B306" s="213"/>
      <c r="G306" s="128"/>
      <c r="H306" s="128"/>
      <c r="I306" s="158"/>
      <c r="J306" s="158"/>
      <c r="W306" s="158"/>
    </row>
    <row r="307" spans="2:23" s="20" customFormat="1">
      <c r="B307" s="213"/>
      <c r="G307" s="128"/>
      <c r="H307" s="128"/>
      <c r="I307" s="158"/>
      <c r="J307" s="158"/>
      <c r="W307" s="158"/>
    </row>
    <row r="308" spans="2:23" s="20" customFormat="1">
      <c r="B308" s="213"/>
      <c r="G308" s="128"/>
      <c r="H308" s="128"/>
      <c r="I308" s="158"/>
      <c r="J308" s="158"/>
      <c r="W308" s="158"/>
    </row>
    <row r="309" spans="2:23" s="20" customFormat="1">
      <c r="B309" s="213"/>
      <c r="G309" s="128"/>
      <c r="H309" s="128"/>
      <c r="I309" s="158"/>
      <c r="J309" s="158"/>
      <c r="W309" s="158"/>
    </row>
    <row r="310" spans="2:23" s="20" customFormat="1">
      <c r="B310" s="213"/>
      <c r="G310" s="128"/>
      <c r="H310" s="128"/>
      <c r="I310" s="158"/>
      <c r="J310" s="158"/>
      <c r="W310" s="158"/>
    </row>
    <row r="311" spans="2:23" s="20" customFormat="1">
      <c r="B311" s="213"/>
      <c r="G311" s="128"/>
      <c r="H311" s="128"/>
      <c r="I311" s="158"/>
      <c r="J311" s="158"/>
      <c r="W311" s="158"/>
    </row>
    <row r="312" spans="2:23" s="20" customFormat="1">
      <c r="B312" s="213"/>
      <c r="G312" s="128"/>
      <c r="H312" s="128"/>
      <c r="I312" s="158"/>
      <c r="J312" s="158"/>
      <c r="W312" s="158"/>
    </row>
    <row r="313" spans="2:23" s="20" customFormat="1">
      <c r="B313" s="213"/>
      <c r="G313" s="128"/>
      <c r="H313" s="128"/>
      <c r="I313" s="158"/>
      <c r="J313" s="158"/>
      <c r="W313" s="158"/>
    </row>
    <row r="314" spans="2:23" s="20" customFormat="1">
      <c r="B314" s="213"/>
      <c r="G314" s="128"/>
      <c r="H314" s="128"/>
      <c r="I314" s="158"/>
      <c r="J314" s="158"/>
      <c r="W314" s="158"/>
    </row>
    <row r="315" spans="2:23" s="20" customFormat="1">
      <c r="B315" s="213"/>
      <c r="G315" s="128"/>
      <c r="H315" s="128"/>
      <c r="I315" s="158"/>
      <c r="J315" s="158"/>
      <c r="W315" s="158"/>
    </row>
    <row r="316" spans="2:23" s="20" customFormat="1">
      <c r="B316" s="213"/>
      <c r="G316" s="128"/>
      <c r="H316" s="128"/>
      <c r="I316" s="158"/>
      <c r="J316" s="158"/>
      <c r="W316" s="158"/>
    </row>
    <row r="317" spans="2:23" s="20" customFormat="1">
      <c r="B317" s="213"/>
      <c r="G317" s="128"/>
      <c r="H317" s="128"/>
      <c r="I317" s="158"/>
      <c r="J317" s="158"/>
      <c r="W317" s="158"/>
    </row>
    <row r="318" spans="2:23" s="20" customFormat="1">
      <c r="B318" s="213"/>
      <c r="G318" s="128"/>
      <c r="H318" s="128"/>
      <c r="I318" s="158"/>
      <c r="J318" s="158"/>
      <c r="W318" s="158"/>
    </row>
    <row r="319" spans="2:23" s="20" customFormat="1">
      <c r="B319" s="213"/>
      <c r="G319" s="128"/>
      <c r="H319" s="128"/>
      <c r="I319" s="158"/>
      <c r="J319" s="158"/>
      <c r="W319" s="158"/>
    </row>
    <row r="320" spans="2:23" s="20" customFormat="1">
      <c r="B320" s="213"/>
      <c r="G320" s="128"/>
      <c r="H320" s="128"/>
      <c r="I320" s="158"/>
      <c r="J320" s="158"/>
      <c r="W320" s="158"/>
    </row>
    <row r="321" spans="2:23" s="20" customFormat="1">
      <c r="B321" s="213"/>
      <c r="G321" s="128"/>
      <c r="H321" s="128"/>
      <c r="I321" s="158"/>
      <c r="J321" s="158"/>
      <c r="W321" s="158"/>
    </row>
    <row r="322" spans="2:23" s="20" customFormat="1">
      <c r="B322" s="213"/>
      <c r="G322" s="128"/>
      <c r="H322" s="128"/>
      <c r="I322" s="158"/>
      <c r="J322" s="158"/>
      <c r="W322" s="158"/>
    </row>
    <row r="323" spans="2:23" s="20" customFormat="1">
      <c r="B323" s="213"/>
      <c r="G323" s="128"/>
      <c r="H323" s="128"/>
      <c r="I323" s="158"/>
      <c r="J323" s="158"/>
      <c r="W323" s="158"/>
    </row>
    <row r="324" spans="2:23" s="20" customFormat="1">
      <c r="B324" s="213"/>
      <c r="G324" s="128"/>
      <c r="H324" s="128"/>
      <c r="I324" s="158"/>
      <c r="J324" s="158"/>
      <c r="W324" s="158"/>
    </row>
    <row r="325" spans="2:23" s="20" customFormat="1">
      <c r="B325" s="213"/>
      <c r="G325" s="128"/>
      <c r="H325" s="128"/>
      <c r="I325" s="158"/>
      <c r="J325" s="158"/>
      <c r="W325" s="158"/>
    </row>
    <row r="326" spans="2:23" s="20" customFormat="1">
      <c r="B326" s="213"/>
      <c r="G326" s="128"/>
      <c r="H326" s="128"/>
      <c r="I326" s="158"/>
      <c r="J326" s="158"/>
      <c r="W326" s="158"/>
    </row>
    <row r="327" spans="2:23" s="20" customFormat="1">
      <c r="B327" s="213"/>
      <c r="G327" s="128"/>
      <c r="H327" s="128"/>
      <c r="I327" s="158"/>
      <c r="J327" s="158"/>
      <c r="W327" s="158"/>
    </row>
    <row r="328" spans="2:23" s="20" customFormat="1">
      <c r="B328" s="213"/>
      <c r="G328" s="128"/>
      <c r="H328" s="128"/>
      <c r="I328" s="158"/>
      <c r="J328" s="158"/>
      <c r="W328" s="158"/>
    </row>
    <row r="329" spans="2:23" s="20" customFormat="1">
      <c r="B329" s="213"/>
      <c r="G329" s="128"/>
      <c r="H329" s="128"/>
      <c r="I329" s="158"/>
      <c r="J329" s="158"/>
      <c r="W329" s="158"/>
    </row>
    <row r="330" spans="2:23" s="20" customFormat="1">
      <c r="B330" s="213"/>
      <c r="G330" s="128"/>
      <c r="H330" s="128"/>
      <c r="I330" s="158"/>
      <c r="J330" s="158"/>
      <c r="W330" s="158"/>
    </row>
    <row r="331" spans="2:23" s="20" customFormat="1">
      <c r="B331" s="213"/>
      <c r="G331" s="128"/>
      <c r="H331" s="128"/>
      <c r="I331" s="158"/>
      <c r="J331" s="158"/>
      <c r="W331" s="158"/>
    </row>
    <row r="332" spans="2:23" s="20" customFormat="1">
      <c r="B332" s="213"/>
      <c r="G332" s="128"/>
      <c r="H332" s="128"/>
      <c r="I332" s="158"/>
      <c r="J332" s="158"/>
      <c r="W332" s="158"/>
    </row>
    <row r="333" spans="2:23" s="20" customFormat="1">
      <c r="B333" s="213"/>
      <c r="G333" s="128"/>
      <c r="H333" s="128"/>
      <c r="I333" s="158"/>
      <c r="J333" s="158"/>
      <c r="W333" s="158"/>
    </row>
    <row r="334" spans="2:23" s="20" customFormat="1">
      <c r="B334" s="213"/>
      <c r="G334" s="128"/>
      <c r="H334" s="128"/>
      <c r="I334" s="158"/>
      <c r="J334" s="158"/>
      <c r="W334" s="158"/>
    </row>
    <row r="335" spans="2:23" s="20" customFormat="1">
      <c r="B335" s="213"/>
      <c r="G335" s="128"/>
      <c r="H335" s="128"/>
      <c r="I335" s="158"/>
      <c r="J335" s="158"/>
      <c r="W335" s="158"/>
    </row>
    <row r="336" spans="2:23" s="20" customFormat="1">
      <c r="B336" s="213"/>
      <c r="G336" s="128"/>
      <c r="H336" s="128"/>
      <c r="I336" s="158"/>
      <c r="J336" s="158"/>
      <c r="W336" s="158"/>
    </row>
    <row r="337" spans="2:23" s="20" customFormat="1">
      <c r="B337" s="213"/>
      <c r="G337" s="128"/>
      <c r="H337" s="128"/>
      <c r="I337" s="158"/>
      <c r="J337" s="158"/>
      <c r="W337" s="158"/>
    </row>
    <row r="338" spans="2:23" s="20" customFormat="1">
      <c r="B338" s="213"/>
      <c r="G338" s="128"/>
      <c r="H338" s="128"/>
      <c r="I338" s="158"/>
      <c r="J338" s="158"/>
      <c r="W338" s="158"/>
    </row>
    <row r="339" spans="2:23" s="20" customFormat="1">
      <c r="B339" s="213"/>
      <c r="G339" s="128"/>
      <c r="H339" s="128"/>
      <c r="I339" s="158"/>
      <c r="J339" s="158"/>
      <c r="W339" s="158"/>
    </row>
    <row r="340" spans="2:23" s="20" customFormat="1">
      <c r="B340" s="213"/>
      <c r="G340" s="128"/>
      <c r="H340" s="128"/>
      <c r="I340" s="158"/>
      <c r="J340" s="158"/>
      <c r="W340" s="158"/>
    </row>
    <row r="341" spans="2:23" s="20" customFormat="1">
      <c r="B341" s="213"/>
      <c r="G341" s="128"/>
      <c r="H341" s="128"/>
      <c r="I341" s="158"/>
      <c r="J341" s="158"/>
      <c r="W341" s="158"/>
    </row>
    <row r="342" spans="2:23" s="20" customFormat="1">
      <c r="B342" s="213"/>
      <c r="G342" s="128"/>
      <c r="H342" s="128"/>
      <c r="I342" s="158"/>
      <c r="J342" s="158"/>
      <c r="W342" s="158"/>
    </row>
    <row r="343" spans="2:23" s="20" customFormat="1">
      <c r="B343" s="213"/>
      <c r="G343" s="128"/>
      <c r="H343" s="128"/>
      <c r="I343" s="158"/>
      <c r="J343" s="158"/>
      <c r="W343" s="158"/>
    </row>
    <row r="344" spans="2:23" s="20" customFormat="1">
      <c r="B344" s="213"/>
      <c r="G344" s="128"/>
      <c r="H344" s="128"/>
      <c r="I344" s="158"/>
      <c r="J344" s="158"/>
      <c r="W344" s="158"/>
    </row>
    <row r="345" spans="2:23" s="20" customFormat="1">
      <c r="B345" s="213"/>
      <c r="G345" s="128"/>
      <c r="H345" s="128"/>
      <c r="I345" s="158"/>
      <c r="J345" s="158"/>
      <c r="W345" s="158"/>
    </row>
    <row r="346" spans="2:23" s="20" customFormat="1">
      <c r="B346" s="213"/>
      <c r="G346" s="128"/>
      <c r="H346" s="128"/>
      <c r="I346" s="158"/>
      <c r="J346" s="158"/>
      <c r="W346" s="158"/>
    </row>
    <row r="347" spans="2:23" s="20" customFormat="1">
      <c r="B347" s="213"/>
      <c r="G347" s="128"/>
      <c r="H347" s="128"/>
      <c r="I347" s="158"/>
      <c r="J347" s="158"/>
      <c r="W347" s="158"/>
    </row>
    <row r="348" spans="2:23" s="20" customFormat="1">
      <c r="B348" s="213"/>
      <c r="G348" s="128"/>
      <c r="H348" s="128"/>
      <c r="I348" s="158"/>
      <c r="J348" s="158"/>
      <c r="W348" s="158"/>
    </row>
    <row r="349" spans="2:23" s="20" customFormat="1">
      <c r="B349" s="213"/>
      <c r="G349" s="128"/>
      <c r="H349" s="128"/>
      <c r="I349" s="158"/>
      <c r="J349" s="158"/>
      <c r="W349" s="158"/>
    </row>
    <row r="350" spans="2:23" s="20" customFormat="1">
      <c r="B350" s="213"/>
      <c r="G350" s="128"/>
      <c r="H350" s="128"/>
      <c r="I350" s="158"/>
      <c r="J350" s="158"/>
      <c r="W350" s="158"/>
    </row>
    <row r="351" spans="2:23" s="20" customFormat="1">
      <c r="B351" s="213"/>
      <c r="G351" s="128"/>
      <c r="H351" s="128"/>
      <c r="I351" s="158"/>
      <c r="J351" s="158"/>
      <c r="W351" s="158"/>
    </row>
    <row r="352" spans="2:23" s="20" customFormat="1">
      <c r="B352" s="213"/>
      <c r="G352" s="128"/>
      <c r="H352" s="128"/>
      <c r="I352" s="158"/>
      <c r="J352" s="158"/>
      <c r="W352" s="158"/>
    </row>
    <row r="353" spans="2:23" s="20" customFormat="1">
      <c r="B353" s="213"/>
      <c r="G353" s="128"/>
      <c r="H353" s="128"/>
      <c r="I353" s="158"/>
      <c r="J353" s="158"/>
      <c r="W353" s="158"/>
    </row>
    <row r="354" spans="2:23" s="20" customFormat="1">
      <c r="B354" s="213"/>
      <c r="G354" s="128"/>
      <c r="H354" s="128"/>
      <c r="I354" s="158"/>
      <c r="J354" s="158"/>
      <c r="W354" s="158"/>
    </row>
    <row r="355" spans="2:23" s="20" customFormat="1">
      <c r="B355" s="213"/>
      <c r="G355" s="128"/>
      <c r="H355" s="128"/>
      <c r="I355" s="158"/>
      <c r="J355" s="158"/>
      <c r="W355" s="158"/>
    </row>
    <row r="356" spans="2:23" s="20" customFormat="1">
      <c r="B356" s="213"/>
      <c r="G356" s="128"/>
      <c r="H356" s="128"/>
      <c r="I356" s="158"/>
      <c r="J356" s="158"/>
      <c r="W356" s="158"/>
    </row>
    <row r="357" spans="2:23" s="20" customFormat="1">
      <c r="B357" s="213"/>
      <c r="G357" s="128"/>
      <c r="H357" s="128"/>
      <c r="I357" s="158"/>
      <c r="J357" s="158"/>
      <c r="W357" s="158"/>
    </row>
    <row r="358" spans="2:23" s="20" customFormat="1">
      <c r="B358" s="213"/>
      <c r="G358" s="128"/>
      <c r="H358" s="128"/>
      <c r="I358" s="158"/>
      <c r="J358" s="158"/>
      <c r="W358" s="158"/>
    </row>
    <row r="359" spans="2:23" s="20" customFormat="1">
      <c r="B359" s="213"/>
      <c r="G359" s="128"/>
      <c r="H359" s="128"/>
      <c r="I359" s="158"/>
      <c r="J359" s="158"/>
      <c r="W359" s="158"/>
    </row>
    <row r="360" spans="2:23" s="20" customFormat="1">
      <c r="B360" s="213"/>
      <c r="G360" s="128"/>
      <c r="H360" s="128"/>
      <c r="I360" s="158"/>
      <c r="J360" s="158"/>
      <c r="W360" s="158"/>
    </row>
    <row r="361" spans="2:23" s="20" customFormat="1">
      <c r="B361" s="213"/>
      <c r="G361" s="128"/>
      <c r="H361" s="128"/>
      <c r="I361" s="158"/>
      <c r="J361" s="158"/>
      <c r="W361" s="158"/>
    </row>
    <row r="362" spans="2:23" s="20" customFormat="1">
      <c r="B362" s="213"/>
      <c r="G362" s="128"/>
      <c r="H362" s="128"/>
      <c r="I362" s="158"/>
      <c r="J362" s="158"/>
      <c r="W362" s="158"/>
    </row>
    <row r="363" spans="2:23" s="20" customFormat="1">
      <c r="B363" s="213"/>
      <c r="G363" s="128"/>
      <c r="H363" s="128"/>
      <c r="I363" s="158"/>
      <c r="J363" s="158"/>
      <c r="W363" s="158"/>
    </row>
    <row r="364" spans="2:23" s="20" customFormat="1">
      <c r="B364" s="213"/>
      <c r="G364" s="128"/>
      <c r="H364" s="128"/>
      <c r="I364" s="158"/>
      <c r="J364" s="158"/>
      <c r="W364" s="158"/>
    </row>
    <row r="365" spans="2:23" s="20" customFormat="1">
      <c r="B365" s="213"/>
      <c r="G365" s="128"/>
      <c r="H365" s="128"/>
      <c r="I365" s="158"/>
      <c r="J365" s="158"/>
      <c r="W365" s="158"/>
    </row>
    <row r="366" spans="2:23" s="20" customFormat="1">
      <c r="B366" s="213"/>
      <c r="G366" s="128"/>
      <c r="H366" s="128"/>
      <c r="I366" s="158"/>
      <c r="J366" s="158"/>
      <c r="W366" s="158"/>
    </row>
    <row r="367" spans="2:23" s="20" customFormat="1">
      <c r="B367" s="213"/>
      <c r="G367" s="128"/>
      <c r="H367" s="128"/>
      <c r="I367" s="158"/>
      <c r="J367" s="158"/>
      <c r="W367" s="158"/>
    </row>
    <row r="368" spans="2:23" s="20" customFormat="1">
      <c r="B368" s="213"/>
      <c r="G368" s="128"/>
      <c r="H368" s="128"/>
      <c r="I368" s="158"/>
      <c r="J368" s="158"/>
      <c r="W368" s="158"/>
    </row>
    <row r="369" spans="2:23" s="20" customFormat="1">
      <c r="B369" s="213"/>
      <c r="G369" s="128"/>
      <c r="H369" s="128"/>
      <c r="I369" s="158"/>
      <c r="J369" s="158"/>
      <c r="W369" s="158"/>
    </row>
    <row r="370" spans="2:23" s="20" customFormat="1">
      <c r="B370" s="213"/>
      <c r="G370" s="128"/>
      <c r="H370" s="128"/>
      <c r="I370" s="158"/>
      <c r="J370" s="158"/>
      <c r="W370" s="158"/>
    </row>
    <row r="371" spans="2:23" s="20" customFormat="1">
      <c r="B371" s="213"/>
      <c r="G371" s="128"/>
      <c r="H371" s="128"/>
      <c r="I371" s="158"/>
      <c r="J371" s="158"/>
      <c r="W371" s="158"/>
    </row>
    <row r="372" spans="2:23" s="20" customFormat="1">
      <c r="B372" s="213"/>
      <c r="G372" s="128"/>
      <c r="H372" s="128"/>
      <c r="I372" s="158"/>
      <c r="J372" s="158"/>
      <c r="W372" s="158"/>
    </row>
    <row r="373" spans="2:23" s="20" customFormat="1">
      <c r="B373" s="213"/>
      <c r="G373" s="128"/>
      <c r="H373" s="128"/>
      <c r="I373" s="158"/>
      <c r="J373" s="158"/>
      <c r="W373" s="158"/>
    </row>
    <row r="374" spans="2:23" s="20" customFormat="1">
      <c r="B374" s="213"/>
      <c r="G374" s="128"/>
      <c r="H374" s="128"/>
      <c r="I374" s="158"/>
      <c r="J374" s="158"/>
      <c r="W374" s="158"/>
    </row>
    <row r="375" spans="2:23" s="20" customFormat="1">
      <c r="B375" s="213"/>
      <c r="G375" s="128"/>
      <c r="H375" s="128"/>
      <c r="I375" s="158"/>
      <c r="J375" s="158"/>
      <c r="W375" s="158"/>
    </row>
    <row r="376" spans="2:23" s="20" customFormat="1">
      <c r="B376" s="213"/>
      <c r="G376" s="128"/>
      <c r="H376" s="128"/>
      <c r="I376" s="158"/>
      <c r="J376" s="158"/>
      <c r="W376" s="158"/>
    </row>
    <row r="377" spans="2:23" s="20" customFormat="1">
      <c r="B377" s="213"/>
      <c r="G377" s="128"/>
      <c r="H377" s="128"/>
      <c r="I377" s="158"/>
      <c r="J377" s="158"/>
      <c r="W377" s="158"/>
    </row>
    <row r="378" spans="2:23" s="20" customFormat="1">
      <c r="B378" s="213"/>
      <c r="G378" s="128"/>
      <c r="H378" s="128"/>
      <c r="I378" s="158"/>
      <c r="J378" s="158"/>
      <c r="W378" s="158"/>
    </row>
    <row r="379" spans="2:23" s="20" customFormat="1">
      <c r="B379" s="213"/>
      <c r="G379" s="128"/>
      <c r="H379" s="128"/>
      <c r="I379" s="158"/>
      <c r="J379" s="158"/>
      <c r="W379" s="158"/>
    </row>
    <row r="380" spans="2:23" s="20" customFormat="1">
      <c r="B380" s="213"/>
      <c r="G380" s="128"/>
      <c r="H380" s="128"/>
      <c r="I380" s="158"/>
      <c r="J380" s="158"/>
      <c r="W380" s="158"/>
    </row>
    <row r="381" spans="2:23" s="20" customFormat="1">
      <c r="B381" s="213"/>
      <c r="G381" s="128"/>
      <c r="H381" s="128"/>
      <c r="I381" s="158"/>
      <c r="J381" s="158"/>
      <c r="W381" s="158"/>
    </row>
    <row r="382" spans="2:23" s="20" customFormat="1">
      <c r="B382" s="213"/>
      <c r="G382" s="128"/>
      <c r="H382" s="128"/>
      <c r="I382" s="158"/>
      <c r="J382" s="158"/>
      <c r="W382" s="158"/>
    </row>
    <row r="383" spans="2:23" s="20" customFormat="1">
      <c r="B383" s="213"/>
      <c r="G383" s="128"/>
      <c r="H383" s="128"/>
      <c r="I383" s="158"/>
      <c r="J383" s="158"/>
      <c r="W383" s="158"/>
    </row>
    <row r="384" spans="2:23" s="20" customFormat="1">
      <c r="B384" s="213"/>
      <c r="G384" s="128"/>
      <c r="H384" s="128"/>
      <c r="I384" s="158"/>
      <c r="J384" s="158"/>
      <c r="W384" s="158"/>
    </row>
    <row r="385" spans="2:23" s="20" customFormat="1">
      <c r="B385" s="213"/>
      <c r="G385" s="128"/>
      <c r="H385" s="128"/>
      <c r="I385" s="158"/>
      <c r="J385" s="158"/>
      <c r="W385" s="158"/>
    </row>
    <row r="386" spans="2:23" s="20" customFormat="1">
      <c r="B386" s="213"/>
      <c r="G386" s="128"/>
      <c r="H386" s="128"/>
      <c r="I386" s="158"/>
      <c r="J386" s="158"/>
      <c r="W386" s="158"/>
    </row>
    <row r="387" spans="2:23" s="20" customFormat="1">
      <c r="B387" s="213"/>
      <c r="G387" s="128"/>
      <c r="H387" s="128"/>
      <c r="I387" s="158"/>
      <c r="J387" s="158"/>
      <c r="W387" s="158"/>
    </row>
    <row r="388" spans="2:23" s="20" customFormat="1">
      <c r="B388" s="213"/>
      <c r="G388" s="128"/>
      <c r="H388" s="128"/>
      <c r="I388" s="158"/>
      <c r="J388" s="158"/>
      <c r="W388" s="158"/>
    </row>
    <row r="389" spans="2:23" s="20" customFormat="1">
      <c r="B389" s="213"/>
      <c r="G389" s="128"/>
      <c r="H389" s="128"/>
      <c r="I389" s="158"/>
      <c r="J389" s="158"/>
      <c r="W389" s="158"/>
    </row>
    <row r="390" spans="2:23" s="20" customFormat="1">
      <c r="B390" s="213"/>
      <c r="G390" s="128"/>
      <c r="H390" s="128"/>
      <c r="I390" s="158"/>
      <c r="J390" s="158"/>
      <c r="W390" s="158"/>
    </row>
    <row r="391" spans="2:23" s="20" customFormat="1">
      <c r="B391" s="213"/>
      <c r="G391" s="128"/>
      <c r="H391" s="128"/>
      <c r="I391" s="158"/>
      <c r="J391" s="158"/>
      <c r="W391" s="158"/>
    </row>
    <row r="392" spans="2:23" s="20" customFormat="1">
      <c r="B392" s="213"/>
      <c r="G392" s="128"/>
      <c r="H392" s="128"/>
      <c r="I392" s="158"/>
      <c r="J392" s="158"/>
      <c r="W392" s="158"/>
    </row>
    <row r="393" spans="2:23" s="20" customFormat="1">
      <c r="B393" s="213"/>
      <c r="G393" s="128"/>
      <c r="H393" s="128"/>
      <c r="I393" s="158"/>
      <c r="J393" s="158"/>
      <c r="W393" s="158"/>
    </row>
    <row r="394" spans="2:23" s="20" customFormat="1">
      <c r="B394" s="213"/>
      <c r="G394" s="128"/>
      <c r="H394" s="128"/>
      <c r="I394" s="158"/>
      <c r="J394" s="158"/>
      <c r="W394" s="158"/>
    </row>
    <row r="395" spans="2:23" s="20" customFormat="1">
      <c r="B395" s="213"/>
      <c r="G395" s="128"/>
      <c r="H395" s="128"/>
      <c r="I395" s="158"/>
      <c r="J395" s="158"/>
      <c r="W395" s="158"/>
    </row>
    <row r="396" spans="2:23" s="20" customFormat="1">
      <c r="B396" s="213"/>
      <c r="G396" s="128"/>
      <c r="H396" s="128"/>
      <c r="I396" s="158"/>
      <c r="J396" s="158"/>
      <c r="W396" s="158"/>
    </row>
    <row r="397" spans="2:23" s="20" customFormat="1">
      <c r="B397" s="213"/>
      <c r="G397" s="128"/>
      <c r="H397" s="128"/>
      <c r="I397" s="158"/>
      <c r="J397" s="158"/>
      <c r="W397" s="158"/>
    </row>
    <row r="398" spans="2:23" s="20" customFormat="1">
      <c r="B398" s="213"/>
      <c r="G398" s="128"/>
      <c r="H398" s="128"/>
      <c r="I398" s="158"/>
      <c r="J398" s="158"/>
      <c r="W398" s="158"/>
    </row>
    <row r="399" spans="2:23" s="20" customFormat="1">
      <c r="B399" s="213"/>
      <c r="G399" s="128"/>
      <c r="H399" s="128"/>
      <c r="I399" s="158"/>
      <c r="J399" s="158"/>
      <c r="W399" s="158"/>
    </row>
    <row r="400" spans="2:23" s="20" customFormat="1">
      <c r="B400" s="213"/>
      <c r="G400" s="128"/>
      <c r="H400" s="128"/>
      <c r="I400" s="158"/>
      <c r="J400" s="158"/>
      <c r="W400" s="158"/>
    </row>
    <row r="401" spans="2:23" s="20" customFormat="1">
      <c r="B401" s="213"/>
      <c r="G401" s="128"/>
      <c r="H401" s="128"/>
      <c r="I401" s="158"/>
      <c r="J401" s="158"/>
      <c r="W401" s="158"/>
    </row>
    <row r="402" spans="2:23" s="20" customFormat="1">
      <c r="B402" s="213"/>
      <c r="G402" s="128"/>
      <c r="H402" s="128"/>
      <c r="I402" s="158"/>
      <c r="J402" s="158"/>
      <c r="W402" s="158"/>
    </row>
    <row r="403" spans="2:23" s="20" customFormat="1">
      <c r="B403" s="213"/>
      <c r="G403" s="128"/>
      <c r="H403" s="128"/>
      <c r="I403" s="158"/>
      <c r="J403" s="158"/>
      <c r="W403" s="158"/>
    </row>
    <row r="404" spans="2:23" s="20" customFormat="1">
      <c r="B404" s="213"/>
      <c r="G404" s="128"/>
      <c r="H404" s="128"/>
      <c r="I404" s="158"/>
      <c r="J404" s="158"/>
      <c r="W404" s="158"/>
    </row>
    <row r="405" spans="2:23" s="20" customFormat="1">
      <c r="B405" s="213"/>
      <c r="G405" s="128"/>
      <c r="H405" s="128"/>
      <c r="I405" s="158"/>
      <c r="J405" s="158"/>
      <c r="W405" s="158"/>
    </row>
    <row r="406" spans="2:23" s="20" customFormat="1">
      <c r="B406" s="213"/>
      <c r="G406" s="128"/>
      <c r="H406" s="128"/>
      <c r="I406" s="158"/>
      <c r="J406" s="158"/>
      <c r="W406" s="158"/>
    </row>
    <row r="407" spans="2:23" s="20" customFormat="1">
      <c r="B407" s="213"/>
      <c r="G407" s="128"/>
      <c r="H407" s="128"/>
      <c r="I407" s="158"/>
      <c r="J407" s="158"/>
      <c r="W407" s="158"/>
    </row>
    <row r="408" spans="2:23" s="20" customFormat="1">
      <c r="B408" s="213"/>
      <c r="G408" s="128"/>
      <c r="H408" s="128"/>
      <c r="I408" s="158"/>
      <c r="J408" s="158"/>
      <c r="W408" s="158"/>
    </row>
    <row r="409" spans="2:23" s="20" customFormat="1">
      <c r="B409" s="213"/>
      <c r="G409" s="128"/>
      <c r="H409" s="128"/>
      <c r="I409" s="158"/>
      <c r="J409" s="158"/>
      <c r="W409" s="158"/>
    </row>
    <row r="410" spans="2:23" s="20" customFormat="1">
      <c r="B410" s="213"/>
      <c r="G410" s="128"/>
      <c r="H410" s="128"/>
      <c r="I410" s="158"/>
      <c r="J410" s="158"/>
      <c r="W410" s="158"/>
    </row>
    <row r="411" spans="2:23" s="20" customFormat="1">
      <c r="B411" s="213"/>
      <c r="G411" s="128"/>
      <c r="H411" s="128"/>
      <c r="I411" s="158"/>
      <c r="J411" s="158"/>
      <c r="W411" s="158"/>
    </row>
    <row r="412" spans="2:23" s="20" customFormat="1">
      <c r="B412" s="213"/>
      <c r="G412" s="128"/>
      <c r="H412" s="128"/>
      <c r="I412" s="158"/>
      <c r="J412" s="158"/>
      <c r="W412" s="158"/>
    </row>
    <row r="413" spans="2:23" s="20" customFormat="1">
      <c r="B413" s="213"/>
      <c r="G413" s="128"/>
      <c r="H413" s="128"/>
      <c r="I413" s="158"/>
      <c r="J413" s="158"/>
      <c r="W413" s="158"/>
    </row>
    <row r="414" spans="2:23" s="20" customFormat="1">
      <c r="B414" s="213"/>
      <c r="G414" s="128"/>
      <c r="H414" s="128"/>
      <c r="I414" s="158"/>
      <c r="J414" s="158"/>
      <c r="W414" s="158"/>
    </row>
    <row r="415" spans="2:23" s="20" customFormat="1">
      <c r="B415" s="213"/>
      <c r="G415" s="128"/>
      <c r="H415" s="128"/>
      <c r="I415" s="158"/>
      <c r="J415" s="158"/>
      <c r="W415" s="158"/>
    </row>
    <row r="416" spans="2:23" s="20" customFormat="1">
      <c r="B416" s="213"/>
      <c r="G416" s="128"/>
      <c r="H416" s="128"/>
      <c r="I416" s="158"/>
      <c r="J416" s="158"/>
      <c r="W416" s="158"/>
    </row>
    <row r="417" spans="2:23" s="20" customFormat="1">
      <c r="B417" s="213"/>
      <c r="G417" s="128"/>
      <c r="H417" s="128"/>
      <c r="I417" s="158"/>
      <c r="J417" s="158"/>
      <c r="W417" s="158"/>
    </row>
    <row r="418" spans="2:23" s="20" customFormat="1">
      <c r="B418" s="213"/>
      <c r="G418" s="128"/>
      <c r="H418" s="128"/>
      <c r="I418" s="158"/>
      <c r="J418" s="158"/>
      <c r="W418" s="158"/>
    </row>
    <row r="419" spans="2:23" s="20" customFormat="1">
      <c r="B419" s="213"/>
      <c r="G419" s="128"/>
      <c r="H419" s="128"/>
      <c r="I419" s="158"/>
      <c r="J419" s="158"/>
      <c r="W419" s="158"/>
    </row>
    <row r="420" spans="2:23" s="20" customFormat="1">
      <c r="B420" s="213"/>
      <c r="G420" s="128"/>
      <c r="H420" s="128"/>
      <c r="I420" s="158"/>
      <c r="J420" s="158"/>
      <c r="W420" s="158"/>
    </row>
    <row r="421" spans="2:23" s="20" customFormat="1">
      <c r="B421" s="213"/>
      <c r="G421" s="128"/>
      <c r="H421" s="128"/>
      <c r="I421" s="158"/>
      <c r="J421" s="158"/>
      <c r="W421" s="158"/>
    </row>
    <row r="422" spans="2:23" s="20" customFormat="1">
      <c r="B422" s="213"/>
      <c r="G422" s="128"/>
      <c r="H422" s="128"/>
      <c r="I422" s="158"/>
      <c r="J422" s="158"/>
      <c r="W422" s="158"/>
    </row>
    <row r="423" spans="2:23" s="20" customFormat="1">
      <c r="B423" s="213"/>
      <c r="G423" s="128"/>
      <c r="H423" s="128"/>
      <c r="I423" s="158"/>
      <c r="J423" s="158"/>
      <c r="W423" s="158"/>
    </row>
    <row r="424" spans="2:23" s="20" customFormat="1">
      <c r="B424" s="213"/>
      <c r="G424" s="128"/>
      <c r="H424" s="128"/>
      <c r="I424" s="158"/>
      <c r="J424" s="158"/>
      <c r="W424" s="158"/>
    </row>
    <row r="425" spans="2:23" s="20" customFormat="1">
      <c r="B425" s="213"/>
      <c r="G425" s="128"/>
      <c r="H425" s="128"/>
      <c r="I425" s="158"/>
      <c r="J425" s="158"/>
      <c r="W425" s="158"/>
    </row>
    <row r="426" spans="2:23" s="20" customFormat="1">
      <c r="B426" s="213"/>
      <c r="G426" s="128"/>
      <c r="H426" s="128"/>
      <c r="I426" s="158"/>
      <c r="J426" s="158"/>
      <c r="W426" s="158"/>
    </row>
    <row r="427" spans="2:23" s="20" customFormat="1">
      <c r="B427" s="213"/>
      <c r="G427" s="128"/>
      <c r="H427" s="128"/>
      <c r="I427" s="158"/>
      <c r="J427" s="158"/>
      <c r="W427" s="158"/>
    </row>
    <row r="428" spans="2:23" s="20" customFormat="1">
      <c r="B428" s="213"/>
      <c r="G428" s="128"/>
      <c r="H428" s="128"/>
      <c r="I428" s="158"/>
      <c r="J428" s="158"/>
      <c r="W428" s="158"/>
    </row>
    <row r="429" spans="2:23" s="20" customFormat="1">
      <c r="B429" s="213"/>
      <c r="G429" s="128"/>
      <c r="H429" s="128"/>
      <c r="I429" s="158"/>
      <c r="J429" s="158"/>
      <c r="W429" s="158"/>
    </row>
    <row r="430" spans="2:23" s="20" customFormat="1">
      <c r="B430" s="213"/>
      <c r="G430" s="128"/>
      <c r="H430" s="128"/>
      <c r="I430" s="158"/>
      <c r="J430" s="158"/>
      <c r="W430" s="158"/>
    </row>
    <row r="431" spans="2:23" s="20" customFormat="1">
      <c r="B431" s="213"/>
      <c r="G431" s="128"/>
      <c r="H431" s="128"/>
      <c r="I431" s="158"/>
      <c r="J431" s="158"/>
      <c r="W431" s="158"/>
    </row>
    <row r="432" spans="2:23" s="20" customFormat="1">
      <c r="B432" s="213"/>
      <c r="G432" s="128"/>
      <c r="H432" s="128"/>
      <c r="I432" s="158"/>
      <c r="J432" s="158"/>
      <c r="W432" s="158"/>
    </row>
    <row r="433" spans="2:23" s="20" customFormat="1">
      <c r="B433" s="213"/>
      <c r="G433" s="128"/>
      <c r="H433" s="128"/>
      <c r="I433" s="158"/>
      <c r="J433" s="158"/>
      <c r="W433" s="158"/>
    </row>
    <row r="434" spans="2:23" s="20" customFormat="1">
      <c r="B434" s="213"/>
      <c r="G434" s="128"/>
      <c r="H434" s="128"/>
      <c r="I434" s="158"/>
      <c r="J434" s="158"/>
      <c r="W434" s="158"/>
    </row>
    <row r="435" spans="2:23" s="20" customFormat="1">
      <c r="B435" s="213"/>
      <c r="G435" s="128"/>
      <c r="H435" s="128"/>
      <c r="I435" s="158"/>
      <c r="J435" s="158"/>
      <c r="W435" s="158"/>
    </row>
    <row r="436" spans="2:23" s="20" customFormat="1">
      <c r="B436" s="213"/>
      <c r="G436" s="128"/>
      <c r="H436" s="128"/>
      <c r="I436" s="158"/>
      <c r="J436" s="158"/>
      <c r="W436" s="158"/>
    </row>
    <row r="437" spans="2:23" s="20" customFormat="1">
      <c r="B437" s="213"/>
      <c r="G437" s="128"/>
      <c r="H437" s="128"/>
      <c r="I437" s="158"/>
      <c r="J437" s="158"/>
      <c r="W437" s="158"/>
    </row>
    <row r="438" spans="2:23" s="20" customFormat="1">
      <c r="B438" s="213"/>
      <c r="G438" s="128"/>
      <c r="H438" s="128"/>
      <c r="I438" s="158"/>
      <c r="J438" s="158"/>
      <c r="W438" s="158"/>
    </row>
    <row r="439" spans="2:23" s="20" customFormat="1">
      <c r="B439" s="213"/>
      <c r="G439" s="128"/>
      <c r="H439" s="128"/>
      <c r="I439" s="158"/>
      <c r="J439" s="158"/>
      <c r="W439" s="158"/>
    </row>
    <row r="440" spans="2:23" s="20" customFormat="1">
      <c r="B440" s="213"/>
      <c r="G440" s="128"/>
      <c r="H440" s="128"/>
      <c r="I440" s="158"/>
      <c r="J440" s="158"/>
      <c r="W440" s="158"/>
    </row>
    <row r="441" spans="2:23" s="20" customFormat="1">
      <c r="B441" s="213"/>
      <c r="G441" s="128"/>
      <c r="H441" s="128"/>
      <c r="I441" s="158"/>
      <c r="J441" s="158"/>
      <c r="W441" s="158"/>
    </row>
    <row r="442" spans="2:23" s="20" customFormat="1">
      <c r="B442" s="213"/>
      <c r="G442" s="128"/>
      <c r="H442" s="128"/>
      <c r="I442" s="158"/>
      <c r="J442" s="158"/>
      <c r="W442" s="158"/>
    </row>
    <row r="443" spans="2:23" s="20" customFormat="1">
      <c r="B443" s="213"/>
      <c r="G443" s="128"/>
      <c r="H443" s="128"/>
      <c r="I443" s="158"/>
      <c r="J443" s="158"/>
      <c r="W443" s="158"/>
    </row>
    <row r="444" spans="2:23" s="20" customFormat="1">
      <c r="B444" s="213"/>
      <c r="G444" s="128"/>
      <c r="H444" s="128"/>
      <c r="I444" s="158"/>
      <c r="J444" s="158"/>
      <c r="W444" s="158"/>
    </row>
    <row r="445" spans="2:23" s="20" customFormat="1">
      <c r="B445" s="213"/>
      <c r="G445" s="128"/>
      <c r="H445" s="128"/>
      <c r="I445" s="158"/>
      <c r="J445" s="158"/>
      <c r="W445" s="158"/>
    </row>
    <row r="446" spans="2:23" s="20" customFormat="1">
      <c r="B446" s="213"/>
      <c r="G446" s="128"/>
      <c r="H446" s="128"/>
      <c r="I446" s="158"/>
      <c r="J446" s="158"/>
      <c r="W446" s="158"/>
    </row>
    <row r="447" spans="2:23" s="20" customFormat="1">
      <c r="B447" s="213"/>
      <c r="G447" s="128"/>
      <c r="H447" s="128"/>
      <c r="I447" s="158"/>
      <c r="J447" s="158"/>
      <c r="W447" s="158"/>
    </row>
    <row r="448" spans="2:23" s="20" customFormat="1">
      <c r="B448" s="213"/>
      <c r="G448" s="128"/>
      <c r="H448" s="128"/>
      <c r="I448" s="158"/>
      <c r="J448" s="158"/>
      <c r="W448" s="158"/>
    </row>
    <row r="449" spans="2:23" s="20" customFormat="1">
      <c r="B449" s="213"/>
      <c r="G449" s="128"/>
      <c r="H449" s="128"/>
      <c r="I449" s="158"/>
      <c r="J449" s="158"/>
      <c r="W449" s="158"/>
    </row>
    <row r="450" spans="2:23" s="20" customFormat="1">
      <c r="B450" s="213"/>
      <c r="G450" s="128"/>
      <c r="H450" s="128"/>
      <c r="I450" s="158"/>
      <c r="J450" s="158"/>
      <c r="W450" s="158"/>
    </row>
    <row r="451" spans="2:23" s="20" customFormat="1">
      <c r="B451" s="213"/>
      <c r="G451" s="128"/>
      <c r="H451" s="128"/>
      <c r="I451" s="158"/>
      <c r="J451" s="158"/>
      <c r="W451" s="158"/>
    </row>
    <row r="452" spans="2:23" s="20" customFormat="1">
      <c r="B452" s="213"/>
      <c r="G452" s="128"/>
      <c r="H452" s="128"/>
      <c r="I452" s="158"/>
      <c r="J452" s="158"/>
      <c r="W452" s="158"/>
    </row>
    <row r="453" spans="2:23" s="20" customFormat="1">
      <c r="B453" s="213"/>
      <c r="G453" s="128"/>
      <c r="H453" s="128"/>
      <c r="I453" s="158"/>
      <c r="J453" s="158"/>
      <c r="W453" s="158"/>
    </row>
    <row r="454" spans="2:23" s="20" customFormat="1">
      <c r="B454" s="213"/>
      <c r="G454" s="128"/>
      <c r="H454" s="128"/>
      <c r="I454" s="158"/>
      <c r="J454" s="158"/>
      <c r="W454" s="158"/>
    </row>
    <row r="455" spans="2:23" s="20" customFormat="1">
      <c r="B455" s="213"/>
      <c r="G455" s="128"/>
      <c r="H455" s="128"/>
      <c r="I455" s="158"/>
      <c r="J455" s="158"/>
      <c r="W455" s="158"/>
    </row>
    <row r="456" spans="2:23" s="20" customFormat="1">
      <c r="B456" s="213"/>
      <c r="G456" s="128"/>
      <c r="H456" s="128"/>
      <c r="I456" s="158"/>
      <c r="J456" s="158"/>
      <c r="W456" s="158"/>
    </row>
    <row r="457" spans="2:23" s="20" customFormat="1">
      <c r="B457" s="213"/>
      <c r="G457" s="128"/>
      <c r="H457" s="128"/>
      <c r="I457" s="158"/>
      <c r="J457" s="158"/>
      <c r="W457" s="158"/>
    </row>
    <row r="458" spans="2:23" s="20" customFormat="1">
      <c r="B458" s="213"/>
      <c r="G458" s="128"/>
      <c r="H458" s="128"/>
      <c r="I458" s="158"/>
      <c r="J458" s="158"/>
      <c r="W458" s="158"/>
    </row>
    <row r="459" spans="2:23" s="20" customFormat="1">
      <c r="B459" s="213"/>
      <c r="G459" s="128"/>
      <c r="H459" s="128"/>
      <c r="I459" s="158"/>
      <c r="J459" s="158"/>
      <c r="W459" s="158"/>
    </row>
    <row r="460" spans="2:23" s="20" customFormat="1">
      <c r="B460" s="213"/>
      <c r="G460" s="128"/>
      <c r="H460" s="128"/>
      <c r="I460" s="158"/>
      <c r="J460" s="158"/>
      <c r="W460" s="158"/>
    </row>
    <row r="461" spans="2:23" s="20" customFormat="1">
      <c r="B461" s="213"/>
      <c r="G461" s="128"/>
      <c r="H461" s="128"/>
      <c r="I461" s="158"/>
      <c r="J461" s="158"/>
      <c r="W461" s="158"/>
    </row>
    <row r="462" spans="2:23" s="20" customFormat="1">
      <c r="B462" s="213"/>
      <c r="G462" s="128"/>
      <c r="H462" s="128"/>
      <c r="I462" s="158"/>
      <c r="J462" s="158"/>
      <c r="W462" s="158"/>
    </row>
    <row r="463" spans="2:23" s="20" customFormat="1">
      <c r="B463" s="213"/>
      <c r="G463" s="128"/>
      <c r="H463" s="128"/>
      <c r="I463" s="158"/>
      <c r="J463" s="158"/>
      <c r="W463" s="158"/>
    </row>
    <row r="464" spans="2:23" s="20" customFormat="1">
      <c r="B464" s="213"/>
      <c r="G464" s="128"/>
      <c r="H464" s="128"/>
      <c r="I464" s="158"/>
      <c r="J464" s="158"/>
      <c r="W464" s="158"/>
    </row>
    <row r="465" spans="2:23" s="20" customFormat="1">
      <c r="B465" s="213"/>
      <c r="G465" s="128"/>
      <c r="H465" s="128"/>
      <c r="I465" s="158"/>
      <c r="J465" s="158"/>
      <c r="W465" s="158"/>
    </row>
    <row r="466" spans="2:23" s="20" customFormat="1">
      <c r="B466" s="213"/>
      <c r="G466" s="128"/>
      <c r="H466" s="128"/>
      <c r="I466" s="158"/>
      <c r="J466" s="158"/>
      <c r="W466" s="158"/>
    </row>
    <row r="467" spans="2:23" s="20" customFormat="1">
      <c r="B467" s="213"/>
      <c r="G467" s="128"/>
      <c r="H467" s="128"/>
      <c r="I467" s="158"/>
      <c r="J467" s="158"/>
      <c r="W467" s="158"/>
    </row>
    <row r="468" spans="2:23" s="20" customFormat="1">
      <c r="B468" s="213"/>
      <c r="G468" s="128"/>
      <c r="H468" s="128"/>
      <c r="I468" s="158"/>
      <c r="J468" s="158"/>
      <c r="W468" s="158"/>
    </row>
    <row r="469" spans="2:23" s="20" customFormat="1">
      <c r="B469" s="213"/>
      <c r="G469" s="128"/>
      <c r="H469" s="128"/>
      <c r="I469" s="158"/>
      <c r="J469" s="158"/>
      <c r="W469" s="158"/>
    </row>
    <row r="470" spans="2:23" s="20" customFormat="1">
      <c r="B470" s="213"/>
      <c r="G470" s="128"/>
      <c r="H470" s="128"/>
      <c r="I470" s="158"/>
      <c r="J470" s="158"/>
      <c r="W470" s="158"/>
    </row>
    <row r="471" spans="2:23" s="20" customFormat="1">
      <c r="B471" s="213"/>
      <c r="G471" s="128"/>
      <c r="H471" s="128"/>
      <c r="I471" s="158"/>
      <c r="J471" s="158"/>
      <c r="W471" s="158"/>
    </row>
    <row r="472" spans="2:23" s="20" customFormat="1">
      <c r="B472" s="213"/>
      <c r="G472" s="128"/>
      <c r="H472" s="128"/>
      <c r="I472" s="158"/>
      <c r="J472" s="158"/>
      <c r="W472" s="158"/>
    </row>
    <row r="473" spans="2:23" s="20" customFormat="1">
      <c r="B473" s="213"/>
      <c r="G473" s="128"/>
      <c r="H473" s="128"/>
      <c r="I473" s="158"/>
      <c r="J473" s="158"/>
      <c r="W473" s="158"/>
    </row>
    <row r="474" spans="2:23" s="20" customFormat="1">
      <c r="B474" s="213"/>
      <c r="G474" s="128"/>
      <c r="H474" s="128"/>
      <c r="I474" s="158"/>
      <c r="J474" s="158"/>
      <c r="W474" s="158"/>
    </row>
    <row r="475" spans="2:23" s="20" customFormat="1">
      <c r="B475" s="213"/>
      <c r="G475" s="128"/>
      <c r="H475" s="128"/>
      <c r="I475" s="158"/>
      <c r="J475" s="158"/>
      <c r="W475" s="158"/>
    </row>
    <row r="476" spans="2:23" s="20" customFormat="1">
      <c r="B476" s="213"/>
      <c r="G476" s="128"/>
      <c r="H476" s="128"/>
      <c r="I476" s="158"/>
      <c r="J476" s="158"/>
      <c r="W476" s="158"/>
    </row>
    <row r="477" spans="2:23" s="20" customFormat="1">
      <c r="B477" s="213"/>
      <c r="G477" s="128"/>
      <c r="H477" s="128"/>
      <c r="I477" s="158"/>
      <c r="J477" s="158"/>
      <c r="W477" s="158"/>
    </row>
    <row r="478" spans="2:23" s="20" customFormat="1">
      <c r="B478" s="213"/>
      <c r="G478" s="128"/>
      <c r="H478" s="128"/>
      <c r="I478" s="158"/>
      <c r="J478" s="158"/>
      <c r="W478" s="158"/>
    </row>
    <row r="479" spans="2:23" s="20" customFormat="1">
      <c r="B479" s="213"/>
      <c r="G479" s="128"/>
      <c r="H479" s="128"/>
      <c r="I479" s="158"/>
      <c r="J479" s="158"/>
      <c r="W479" s="158"/>
    </row>
    <row r="480" spans="2:23" s="20" customFormat="1">
      <c r="B480" s="213"/>
      <c r="G480" s="128"/>
      <c r="H480" s="128"/>
      <c r="I480" s="158"/>
      <c r="J480" s="158"/>
      <c r="W480" s="158"/>
    </row>
    <row r="481" spans="2:23" s="20" customFormat="1">
      <c r="B481" s="213"/>
      <c r="G481" s="128"/>
      <c r="H481" s="128"/>
      <c r="I481" s="158"/>
      <c r="J481" s="158"/>
      <c r="W481" s="158"/>
    </row>
    <row r="482" spans="2:23" s="20" customFormat="1">
      <c r="B482" s="213"/>
      <c r="G482" s="128"/>
      <c r="H482" s="128"/>
      <c r="I482" s="158"/>
      <c r="J482" s="158"/>
      <c r="W482" s="158"/>
    </row>
    <row r="483" spans="2:23" s="20" customFormat="1">
      <c r="B483" s="213"/>
      <c r="G483" s="128"/>
      <c r="H483" s="128"/>
      <c r="I483" s="158"/>
      <c r="J483" s="158"/>
      <c r="W483" s="158"/>
    </row>
    <row r="484" spans="2:23" s="20" customFormat="1">
      <c r="B484" s="213"/>
      <c r="G484" s="128"/>
      <c r="H484" s="128"/>
      <c r="I484" s="158"/>
      <c r="J484" s="158"/>
      <c r="W484" s="158"/>
    </row>
    <row r="485" spans="2:23" s="20" customFormat="1">
      <c r="B485" s="213"/>
      <c r="G485" s="128"/>
      <c r="H485" s="128"/>
      <c r="I485" s="158"/>
      <c r="J485" s="158"/>
      <c r="W485" s="158"/>
    </row>
    <row r="486" spans="2:23" s="20" customFormat="1">
      <c r="B486" s="213"/>
      <c r="G486" s="128"/>
      <c r="H486" s="128"/>
      <c r="I486" s="158"/>
      <c r="J486" s="158"/>
      <c r="W486" s="158"/>
    </row>
    <row r="487" spans="2:23" s="20" customFormat="1">
      <c r="B487" s="213"/>
      <c r="G487" s="128"/>
      <c r="H487" s="128"/>
      <c r="I487" s="158"/>
      <c r="J487" s="158"/>
      <c r="W487" s="158"/>
    </row>
    <row r="488" spans="2:23" s="20" customFormat="1">
      <c r="B488" s="213"/>
      <c r="G488" s="128"/>
      <c r="H488" s="128"/>
      <c r="I488" s="158"/>
      <c r="J488" s="158"/>
      <c r="W488" s="158"/>
    </row>
    <row r="489" spans="2:23" s="20" customFormat="1">
      <c r="B489" s="213"/>
      <c r="G489" s="128"/>
      <c r="H489" s="128"/>
      <c r="I489" s="158"/>
      <c r="J489" s="158"/>
      <c r="W489" s="158"/>
    </row>
    <row r="490" spans="2:23" s="20" customFormat="1">
      <c r="B490" s="213"/>
      <c r="G490" s="128"/>
      <c r="H490" s="128"/>
      <c r="I490" s="158"/>
      <c r="J490" s="158"/>
      <c r="W490" s="158"/>
    </row>
    <row r="491" spans="2:23" s="20" customFormat="1">
      <c r="B491" s="213"/>
      <c r="G491" s="128"/>
      <c r="H491" s="128"/>
      <c r="I491" s="158"/>
      <c r="J491" s="158"/>
      <c r="W491" s="158"/>
    </row>
    <row r="492" spans="2:23" s="20" customFormat="1">
      <c r="B492" s="213"/>
      <c r="G492" s="128"/>
      <c r="H492" s="128"/>
      <c r="I492" s="158"/>
      <c r="J492" s="158"/>
      <c r="W492" s="158"/>
    </row>
    <row r="493" spans="2:23" s="20" customFormat="1">
      <c r="B493" s="213"/>
      <c r="G493" s="128"/>
      <c r="H493" s="128"/>
      <c r="I493" s="158"/>
      <c r="J493" s="158"/>
      <c r="W493" s="158"/>
    </row>
    <row r="494" spans="2:23" s="20" customFormat="1">
      <c r="B494" s="213"/>
      <c r="G494" s="128"/>
      <c r="H494" s="128"/>
      <c r="I494" s="158"/>
      <c r="J494" s="158"/>
      <c r="W494" s="158"/>
    </row>
    <row r="495" spans="2:23" s="20" customFormat="1">
      <c r="B495" s="213"/>
      <c r="G495" s="128"/>
      <c r="H495" s="128"/>
      <c r="I495" s="158"/>
      <c r="J495" s="158"/>
      <c r="W495" s="158"/>
    </row>
    <row r="496" spans="2:23" s="20" customFormat="1">
      <c r="B496" s="213"/>
      <c r="G496" s="128"/>
      <c r="H496" s="128"/>
      <c r="I496" s="158"/>
      <c r="J496" s="158"/>
      <c r="W496" s="158"/>
    </row>
    <row r="497" spans="2:23" s="20" customFormat="1">
      <c r="B497" s="213"/>
      <c r="G497" s="128"/>
      <c r="H497" s="128"/>
      <c r="I497" s="158"/>
      <c r="J497" s="158"/>
      <c r="W497" s="158"/>
    </row>
    <row r="498" spans="2:23" s="20" customFormat="1">
      <c r="B498" s="213"/>
      <c r="G498" s="128"/>
      <c r="H498" s="128"/>
      <c r="I498" s="158"/>
      <c r="J498" s="158"/>
      <c r="W498" s="158"/>
    </row>
    <row r="499" spans="2:23" s="20" customFormat="1">
      <c r="B499" s="213"/>
      <c r="G499" s="128"/>
      <c r="H499" s="128"/>
      <c r="I499" s="158"/>
      <c r="J499" s="158"/>
      <c r="W499" s="158"/>
    </row>
    <row r="500" spans="2:23" s="20" customFormat="1">
      <c r="B500" s="213"/>
      <c r="G500" s="128"/>
      <c r="H500" s="128"/>
      <c r="I500" s="158"/>
      <c r="J500" s="158"/>
      <c r="W500" s="158"/>
    </row>
    <row r="501" spans="2:23" s="20" customFormat="1">
      <c r="B501" s="213"/>
      <c r="G501" s="128"/>
      <c r="H501" s="128"/>
      <c r="I501" s="158"/>
      <c r="J501" s="158"/>
      <c r="W501" s="158"/>
    </row>
    <row r="502" spans="2:23" s="20" customFormat="1">
      <c r="B502" s="213"/>
      <c r="G502" s="128"/>
      <c r="H502" s="128"/>
      <c r="I502" s="158"/>
      <c r="J502" s="158"/>
      <c r="W502" s="158"/>
    </row>
    <row r="503" spans="2:23" s="20" customFormat="1">
      <c r="B503" s="213"/>
      <c r="G503" s="128"/>
      <c r="H503" s="128"/>
      <c r="I503" s="158"/>
      <c r="J503" s="158"/>
      <c r="W503" s="158"/>
    </row>
    <row r="504" spans="2:23" s="20" customFormat="1">
      <c r="B504" s="213"/>
      <c r="G504" s="128"/>
      <c r="H504" s="128"/>
      <c r="I504" s="158"/>
      <c r="J504" s="158"/>
      <c r="W504" s="158"/>
    </row>
    <row r="505" spans="2:23" s="20" customFormat="1">
      <c r="B505" s="213"/>
      <c r="G505" s="128"/>
      <c r="H505" s="128"/>
      <c r="I505" s="158"/>
      <c r="J505" s="158"/>
      <c r="W505" s="158"/>
    </row>
    <row r="506" spans="2:23" s="20" customFormat="1">
      <c r="B506" s="213"/>
      <c r="G506" s="128"/>
      <c r="H506" s="128"/>
      <c r="I506" s="158"/>
      <c r="J506" s="158"/>
      <c r="W506" s="158"/>
    </row>
    <row r="507" spans="2:23" s="20" customFormat="1">
      <c r="B507" s="213"/>
      <c r="G507" s="128"/>
      <c r="H507" s="128"/>
      <c r="I507" s="158"/>
      <c r="J507" s="158"/>
      <c r="W507" s="158"/>
    </row>
    <row r="508" spans="2:23" s="20" customFormat="1">
      <c r="B508" s="213"/>
      <c r="G508" s="128"/>
      <c r="H508" s="128"/>
      <c r="I508" s="158"/>
      <c r="J508" s="158"/>
      <c r="W508" s="158"/>
    </row>
    <row r="509" spans="2:23" s="20" customFormat="1">
      <c r="B509" s="213"/>
      <c r="G509" s="128"/>
      <c r="H509" s="128"/>
      <c r="I509" s="158"/>
      <c r="J509" s="158"/>
      <c r="W509" s="158"/>
    </row>
    <row r="510" spans="2:23" s="20" customFormat="1">
      <c r="B510" s="213"/>
      <c r="G510" s="128"/>
      <c r="H510" s="128"/>
      <c r="I510" s="158"/>
      <c r="J510" s="158"/>
      <c r="W510" s="158"/>
    </row>
    <row r="511" spans="2:23" s="20" customFormat="1">
      <c r="B511" s="213"/>
      <c r="G511" s="128"/>
      <c r="H511" s="128"/>
      <c r="I511" s="158"/>
      <c r="J511" s="158"/>
      <c r="W511" s="158"/>
    </row>
    <row r="512" spans="2:23" s="20" customFormat="1">
      <c r="B512" s="213"/>
      <c r="G512" s="128"/>
      <c r="H512" s="128"/>
      <c r="I512" s="158"/>
      <c r="J512" s="158"/>
      <c r="W512" s="158"/>
    </row>
    <row r="513" spans="2:23" s="20" customFormat="1">
      <c r="B513" s="213"/>
      <c r="G513" s="128"/>
      <c r="H513" s="128"/>
      <c r="I513" s="158"/>
      <c r="J513" s="158"/>
      <c r="W513" s="158"/>
    </row>
    <row r="514" spans="2:23" s="20" customFormat="1">
      <c r="B514" s="213"/>
      <c r="G514" s="128"/>
      <c r="H514" s="128"/>
      <c r="I514" s="158"/>
      <c r="J514" s="158"/>
      <c r="W514" s="158"/>
    </row>
    <row r="515" spans="2:23" s="20" customFormat="1">
      <c r="B515" s="213"/>
      <c r="G515" s="128"/>
      <c r="H515" s="128"/>
      <c r="I515" s="158"/>
      <c r="J515" s="158"/>
      <c r="W515" s="158"/>
    </row>
    <row r="516" spans="2:23" s="20" customFormat="1">
      <c r="B516" s="213"/>
      <c r="G516" s="128"/>
      <c r="H516" s="128"/>
      <c r="I516" s="158"/>
      <c r="J516" s="158"/>
      <c r="W516" s="158"/>
    </row>
    <row r="517" spans="2:23" s="20" customFormat="1">
      <c r="B517" s="213"/>
      <c r="G517" s="128"/>
      <c r="H517" s="128"/>
      <c r="I517" s="158"/>
      <c r="J517" s="158"/>
      <c r="W517" s="158"/>
    </row>
    <row r="518" spans="2:23" s="20" customFormat="1">
      <c r="B518" s="213"/>
      <c r="G518" s="128"/>
      <c r="H518" s="128"/>
      <c r="I518" s="158"/>
      <c r="J518" s="158"/>
      <c r="W518" s="158"/>
    </row>
    <row r="519" spans="2:23" s="20" customFormat="1">
      <c r="B519" s="213"/>
      <c r="G519" s="128"/>
      <c r="H519" s="128"/>
      <c r="I519" s="158"/>
      <c r="J519" s="158"/>
      <c r="W519" s="158"/>
    </row>
    <row r="520" spans="2:23" s="20" customFormat="1">
      <c r="B520" s="213"/>
      <c r="G520" s="128"/>
      <c r="H520" s="128"/>
      <c r="I520" s="158"/>
      <c r="J520" s="158"/>
      <c r="W520" s="158"/>
    </row>
    <row r="521" spans="2:23" s="20" customFormat="1">
      <c r="B521" s="213"/>
      <c r="G521" s="128"/>
      <c r="H521" s="128"/>
      <c r="I521" s="158"/>
      <c r="J521" s="158"/>
      <c r="W521" s="158"/>
    </row>
    <row r="522" spans="2:23" s="20" customFormat="1">
      <c r="B522" s="213"/>
      <c r="G522" s="128"/>
      <c r="H522" s="128"/>
      <c r="I522" s="158"/>
      <c r="J522" s="158"/>
      <c r="W522" s="158"/>
    </row>
    <row r="523" spans="2:23" s="20" customFormat="1">
      <c r="B523" s="213"/>
      <c r="G523" s="128"/>
      <c r="H523" s="128"/>
      <c r="I523" s="158"/>
      <c r="J523" s="158"/>
      <c r="W523" s="158"/>
    </row>
    <row r="524" spans="2:23" s="20" customFormat="1">
      <c r="B524" s="213"/>
      <c r="G524" s="128"/>
      <c r="H524" s="128"/>
      <c r="I524" s="158"/>
      <c r="J524" s="158"/>
      <c r="W524" s="158"/>
    </row>
    <row r="525" spans="2:23" s="20" customFormat="1">
      <c r="B525" s="213"/>
      <c r="G525" s="128"/>
      <c r="H525" s="128"/>
      <c r="I525" s="158"/>
      <c r="J525" s="158"/>
      <c r="W525" s="158"/>
    </row>
    <row r="526" spans="2:23" s="20" customFormat="1">
      <c r="B526" s="213"/>
      <c r="G526" s="128"/>
      <c r="H526" s="128"/>
      <c r="I526" s="158"/>
      <c r="J526" s="158"/>
      <c r="W526" s="158"/>
    </row>
    <row r="527" spans="2:23" s="20" customFormat="1">
      <c r="B527" s="213"/>
      <c r="G527" s="128"/>
      <c r="H527" s="128"/>
      <c r="I527" s="158"/>
      <c r="J527" s="158"/>
      <c r="W527" s="158"/>
    </row>
    <row r="528" spans="2:23" s="20" customFormat="1">
      <c r="B528" s="213"/>
      <c r="G528" s="128"/>
      <c r="H528" s="128"/>
      <c r="I528" s="158"/>
      <c r="J528" s="158"/>
      <c r="W528" s="158"/>
    </row>
    <row r="529" spans="2:23" s="20" customFormat="1">
      <c r="B529" s="213"/>
      <c r="G529" s="128"/>
      <c r="H529" s="128"/>
      <c r="I529" s="158"/>
      <c r="J529" s="158"/>
      <c r="W529" s="158"/>
    </row>
    <row r="530" spans="2:23" s="20" customFormat="1">
      <c r="B530" s="213"/>
      <c r="G530" s="128"/>
      <c r="H530" s="128"/>
      <c r="I530" s="158"/>
      <c r="J530" s="158"/>
      <c r="W530" s="158"/>
    </row>
    <row r="531" spans="2:23" s="20" customFormat="1">
      <c r="B531" s="213"/>
      <c r="G531" s="128"/>
      <c r="H531" s="128"/>
      <c r="I531" s="158"/>
      <c r="J531" s="158"/>
      <c r="W531" s="158"/>
    </row>
    <row r="532" spans="2:23" s="20" customFormat="1">
      <c r="B532" s="213"/>
      <c r="G532" s="128"/>
      <c r="H532" s="128"/>
      <c r="I532" s="158"/>
      <c r="J532" s="158"/>
      <c r="W532" s="158"/>
    </row>
    <row r="533" spans="2:23" s="20" customFormat="1">
      <c r="B533" s="213"/>
      <c r="G533" s="128"/>
      <c r="H533" s="128"/>
      <c r="I533" s="158"/>
      <c r="J533" s="158"/>
      <c r="W533" s="158"/>
    </row>
    <row r="534" spans="2:23" s="20" customFormat="1">
      <c r="B534" s="213"/>
      <c r="G534" s="128"/>
      <c r="H534" s="128"/>
      <c r="I534" s="158"/>
      <c r="J534" s="158"/>
      <c r="W534" s="158"/>
    </row>
    <row r="535" spans="2:23" s="20" customFormat="1">
      <c r="B535" s="213"/>
      <c r="G535" s="128"/>
      <c r="H535" s="128"/>
      <c r="I535" s="158"/>
      <c r="J535" s="158"/>
      <c r="W535" s="158"/>
    </row>
    <row r="536" spans="2:23" s="20" customFormat="1">
      <c r="B536" s="213"/>
      <c r="G536" s="128"/>
      <c r="H536" s="128"/>
      <c r="I536" s="158"/>
      <c r="J536" s="158"/>
      <c r="W536" s="158"/>
    </row>
    <row r="537" spans="2:23" s="20" customFormat="1">
      <c r="B537" s="213"/>
      <c r="G537" s="128"/>
      <c r="H537" s="128"/>
      <c r="I537" s="158"/>
      <c r="J537" s="158"/>
      <c r="W537" s="158"/>
    </row>
    <row r="538" spans="2:23" s="20" customFormat="1">
      <c r="B538" s="213"/>
      <c r="G538" s="128"/>
      <c r="H538" s="128"/>
      <c r="I538" s="158"/>
      <c r="J538" s="158"/>
      <c r="W538" s="158"/>
    </row>
    <row r="539" spans="2:23" s="20" customFormat="1">
      <c r="B539" s="213"/>
      <c r="G539" s="128"/>
      <c r="H539" s="128"/>
      <c r="I539" s="158"/>
      <c r="J539" s="158"/>
      <c r="W539" s="158"/>
    </row>
    <row r="540" spans="2:23" s="20" customFormat="1">
      <c r="B540" s="213"/>
      <c r="G540" s="128"/>
      <c r="H540" s="128"/>
      <c r="I540" s="158"/>
      <c r="J540" s="158"/>
      <c r="W540" s="158"/>
    </row>
    <row r="541" spans="2:23" s="20" customFormat="1">
      <c r="B541" s="213"/>
      <c r="G541" s="128"/>
      <c r="H541" s="128"/>
      <c r="I541" s="158"/>
      <c r="J541" s="158"/>
      <c r="W541" s="158"/>
    </row>
    <row r="542" spans="2:23" s="20" customFormat="1">
      <c r="B542" s="213"/>
      <c r="G542" s="128"/>
      <c r="H542" s="128"/>
      <c r="I542" s="158"/>
      <c r="J542" s="158"/>
      <c r="W542" s="158"/>
    </row>
    <row r="543" spans="2:23" s="20" customFormat="1">
      <c r="B543" s="213"/>
      <c r="G543" s="128"/>
      <c r="H543" s="128"/>
      <c r="I543" s="158"/>
      <c r="J543" s="158"/>
      <c r="W543" s="158"/>
    </row>
    <row r="544" spans="2:23" s="20" customFormat="1">
      <c r="B544" s="213"/>
      <c r="G544" s="128"/>
      <c r="H544" s="128"/>
      <c r="I544" s="158"/>
      <c r="J544" s="158"/>
      <c r="W544" s="158"/>
    </row>
    <row r="545" spans="2:23" s="20" customFormat="1">
      <c r="B545" s="213"/>
      <c r="G545" s="128"/>
      <c r="H545" s="128"/>
      <c r="I545" s="158"/>
      <c r="J545" s="158"/>
      <c r="W545" s="158"/>
    </row>
    <row r="546" spans="2:23" s="20" customFormat="1">
      <c r="B546" s="213"/>
      <c r="G546" s="128"/>
      <c r="H546" s="128"/>
      <c r="I546" s="158"/>
      <c r="J546" s="158"/>
      <c r="W546" s="158"/>
    </row>
    <row r="547" spans="2:23" s="20" customFormat="1">
      <c r="B547" s="213"/>
      <c r="G547" s="128"/>
      <c r="H547" s="128"/>
      <c r="I547" s="158"/>
      <c r="J547" s="158"/>
      <c r="W547" s="158"/>
    </row>
    <row r="548" spans="2:23" s="20" customFormat="1">
      <c r="B548" s="213"/>
      <c r="G548" s="128"/>
      <c r="H548" s="128"/>
      <c r="I548" s="158"/>
      <c r="J548" s="158"/>
      <c r="W548" s="158"/>
    </row>
    <row r="549" spans="2:23" s="20" customFormat="1">
      <c r="B549" s="213"/>
      <c r="G549" s="128"/>
      <c r="H549" s="128"/>
      <c r="I549" s="158"/>
      <c r="J549" s="158"/>
      <c r="W549" s="158"/>
    </row>
    <row r="550" spans="2:23" s="20" customFormat="1">
      <c r="B550" s="213"/>
      <c r="G550" s="128"/>
      <c r="H550" s="128"/>
      <c r="I550" s="158"/>
      <c r="J550" s="158"/>
      <c r="W550" s="158"/>
    </row>
    <row r="551" spans="2:23" s="20" customFormat="1">
      <c r="B551" s="213"/>
      <c r="G551" s="128"/>
      <c r="H551" s="128"/>
      <c r="I551" s="158"/>
      <c r="J551" s="158"/>
      <c r="W551" s="158"/>
    </row>
    <row r="552" spans="2:23" s="20" customFormat="1">
      <c r="B552" s="213"/>
      <c r="G552" s="128"/>
      <c r="H552" s="128"/>
      <c r="I552" s="158"/>
      <c r="J552" s="158"/>
      <c r="W552" s="158"/>
    </row>
    <row r="553" spans="2:23" s="20" customFormat="1">
      <c r="B553" s="213"/>
      <c r="G553" s="128"/>
      <c r="H553" s="128"/>
      <c r="I553" s="158"/>
      <c r="J553" s="158"/>
      <c r="W553" s="158"/>
    </row>
    <row r="554" spans="2:23" s="20" customFormat="1">
      <c r="B554" s="213"/>
      <c r="G554" s="128"/>
      <c r="H554" s="128"/>
      <c r="I554" s="158"/>
      <c r="J554" s="158"/>
      <c r="W554" s="158"/>
    </row>
    <row r="555" spans="2:23" s="20" customFormat="1">
      <c r="B555" s="213"/>
      <c r="G555" s="128"/>
      <c r="H555" s="128"/>
      <c r="I555" s="158"/>
      <c r="J555" s="158"/>
      <c r="W555" s="158"/>
    </row>
    <row r="556" spans="2:23" s="20" customFormat="1">
      <c r="B556" s="213"/>
      <c r="G556" s="128"/>
      <c r="H556" s="128"/>
      <c r="I556" s="158"/>
      <c r="J556" s="158"/>
      <c r="W556" s="158"/>
    </row>
    <row r="557" spans="2:23" s="20" customFormat="1">
      <c r="B557" s="213"/>
      <c r="G557" s="128"/>
      <c r="H557" s="128"/>
      <c r="I557" s="158"/>
      <c r="J557" s="158"/>
      <c r="W557" s="158"/>
    </row>
    <row r="558" spans="2:23" s="20" customFormat="1">
      <c r="B558" s="213"/>
      <c r="G558" s="128"/>
      <c r="H558" s="128"/>
      <c r="I558" s="158"/>
      <c r="J558" s="158"/>
      <c r="W558" s="158"/>
    </row>
    <row r="559" spans="2:23" s="20" customFormat="1">
      <c r="B559" s="213"/>
      <c r="G559" s="128"/>
      <c r="H559" s="128"/>
      <c r="I559" s="158"/>
      <c r="J559" s="158"/>
      <c r="W559" s="158"/>
    </row>
    <row r="560" spans="2:23" s="20" customFormat="1">
      <c r="B560" s="213"/>
      <c r="G560" s="128"/>
      <c r="H560" s="128"/>
      <c r="I560" s="158"/>
      <c r="J560" s="158"/>
      <c r="W560" s="158"/>
    </row>
    <row r="561" spans="2:23" s="20" customFormat="1">
      <c r="B561" s="213"/>
      <c r="G561" s="128"/>
      <c r="H561" s="128"/>
      <c r="I561" s="158"/>
      <c r="J561" s="158"/>
      <c r="W561" s="158"/>
    </row>
    <row r="562" spans="2:23" s="20" customFormat="1">
      <c r="B562" s="213"/>
      <c r="G562" s="128"/>
      <c r="H562" s="128"/>
      <c r="I562" s="158"/>
      <c r="J562" s="158"/>
      <c r="W562" s="158"/>
    </row>
    <row r="563" spans="2:23" s="20" customFormat="1">
      <c r="B563" s="213"/>
      <c r="G563" s="128"/>
      <c r="H563" s="128"/>
      <c r="I563" s="158"/>
      <c r="J563" s="158"/>
      <c r="W563" s="158"/>
    </row>
    <row r="564" spans="2:23" s="20" customFormat="1">
      <c r="B564" s="213"/>
      <c r="G564" s="128"/>
      <c r="H564" s="128"/>
      <c r="I564" s="158"/>
      <c r="J564" s="158"/>
      <c r="W564" s="158"/>
    </row>
    <row r="565" spans="2:23" s="20" customFormat="1">
      <c r="B565" s="213"/>
      <c r="G565" s="128"/>
      <c r="H565" s="128"/>
      <c r="I565" s="158"/>
      <c r="J565" s="158"/>
      <c r="W565" s="158"/>
    </row>
    <row r="566" spans="2:23" s="20" customFormat="1">
      <c r="B566" s="213"/>
      <c r="G566" s="128"/>
      <c r="H566" s="128"/>
      <c r="I566" s="158"/>
      <c r="J566" s="158"/>
      <c r="W566" s="158"/>
    </row>
    <row r="567" spans="2:23" s="20" customFormat="1">
      <c r="B567" s="213"/>
      <c r="G567" s="128"/>
      <c r="H567" s="128"/>
      <c r="I567" s="158"/>
      <c r="J567" s="158"/>
      <c r="W567" s="158"/>
    </row>
    <row r="568" spans="2:23" s="20" customFormat="1">
      <c r="B568" s="213"/>
      <c r="G568" s="128"/>
      <c r="H568" s="128"/>
      <c r="I568" s="158"/>
      <c r="J568" s="158"/>
      <c r="W568" s="158"/>
    </row>
    <row r="569" spans="2:23" s="20" customFormat="1">
      <c r="B569" s="213"/>
      <c r="G569" s="128"/>
      <c r="H569" s="128"/>
      <c r="I569" s="158"/>
      <c r="J569" s="158"/>
      <c r="W569" s="158"/>
    </row>
    <row r="570" spans="2:23" s="20" customFormat="1">
      <c r="B570" s="213"/>
      <c r="G570" s="128"/>
      <c r="H570" s="128"/>
      <c r="I570" s="158"/>
      <c r="J570" s="158"/>
      <c r="W570" s="158"/>
    </row>
    <row r="571" spans="2:23" s="20" customFormat="1">
      <c r="B571" s="213"/>
      <c r="G571" s="128"/>
      <c r="H571" s="128"/>
      <c r="I571" s="158"/>
      <c r="J571" s="158"/>
      <c r="W571" s="158"/>
    </row>
    <row r="572" spans="2:23" s="20" customFormat="1">
      <c r="B572" s="213"/>
      <c r="G572" s="128"/>
      <c r="H572" s="128"/>
      <c r="I572" s="158"/>
      <c r="J572" s="158"/>
      <c r="W572" s="158"/>
    </row>
    <row r="573" spans="2:23" s="20" customFormat="1">
      <c r="B573" s="213"/>
      <c r="G573" s="128"/>
      <c r="H573" s="128"/>
      <c r="I573" s="158"/>
      <c r="J573" s="158"/>
      <c r="W573" s="158"/>
    </row>
    <row r="574" spans="2:23" s="20" customFormat="1">
      <c r="B574" s="213"/>
      <c r="G574" s="128"/>
      <c r="H574" s="128"/>
      <c r="I574" s="158"/>
      <c r="J574" s="158"/>
      <c r="W574" s="158"/>
    </row>
    <row r="575" spans="2:23" s="20" customFormat="1">
      <c r="B575" s="213"/>
      <c r="G575" s="128"/>
      <c r="H575" s="128"/>
      <c r="I575" s="158"/>
      <c r="J575" s="158"/>
      <c r="W575" s="158"/>
    </row>
    <row r="576" spans="2:23" s="20" customFormat="1">
      <c r="B576" s="213"/>
      <c r="G576" s="128"/>
      <c r="H576" s="128"/>
      <c r="I576" s="158"/>
      <c r="J576" s="158"/>
      <c r="W576" s="158"/>
    </row>
    <row r="577" spans="2:23" s="20" customFormat="1">
      <c r="B577" s="213"/>
      <c r="G577" s="128"/>
      <c r="H577" s="128"/>
      <c r="I577" s="158"/>
      <c r="J577" s="158"/>
      <c r="W577" s="158"/>
    </row>
    <row r="578" spans="2:23" s="20" customFormat="1">
      <c r="B578" s="213"/>
      <c r="G578" s="128"/>
      <c r="H578" s="128"/>
      <c r="I578" s="158"/>
      <c r="J578" s="158"/>
      <c r="W578" s="158"/>
    </row>
    <row r="579" spans="2:23" s="20" customFormat="1">
      <c r="B579" s="213"/>
      <c r="G579" s="128"/>
      <c r="H579" s="128"/>
      <c r="I579" s="158"/>
      <c r="J579" s="158"/>
      <c r="W579" s="158"/>
    </row>
    <row r="580" spans="2:23" s="20" customFormat="1">
      <c r="B580" s="213"/>
      <c r="G580" s="128"/>
      <c r="H580" s="128"/>
      <c r="I580" s="158"/>
      <c r="J580" s="158"/>
      <c r="W580" s="158"/>
    </row>
    <row r="581" spans="2:23" s="20" customFormat="1">
      <c r="B581" s="213"/>
      <c r="G581" s="128"/>
      <c r="H581" s="128"/>
      <c r="I581" s="158"/>
      <c r="J581" s="158"/>
      <c r="W581" s="158"/>
    </row>
    <row r="582" spans="2:23" s="20" customFormat="1">
      <c r="B582" s="213"/>
      <c r="G582" s="128"/>
      <c r="H582" s="128"/>
      <c r="I582" s="158"/>
      <c r="J582" s="158"/>
      <c r="W582" s="158"/>
    </row>
    <row r="583" spans="2:23" s="20" customFormat="1">
      <c r="B583" s="213"/>
      <c r="G583" s="128"/>
      <c r="H583" s="128"/>
      <c r="I583" s="158"/>
      <c r="J583" s="158"/>
      <c r="W583" s="158"/>
    </row>
    <row r="584" spans="2:23" s="20" customFormat="1">
      <c r="B584" s="213"/>
      <c r="G584" s="128"/>
      <c r="H584" s="128"/>
      <c r="I584" s="158"/>
      <c r="J584" s="158"/>
      <c r="W584" s="158"/>
    </row>
    <row r="585" spans="2:23" s="20" customFormat="1">
      <c r="B585" s="213"/>
      <c r="G585" s="128"/>
      <c r="H585" s="128"/>
      <c r="I585" s="158"/>
      <c r="J585" s="158"/>
      <c r="W585" s="158"/>
    </row>
    <row r="586" spans="2:23" s="20" customFormat="1">
      <c r="B586" s="213"/>
      <c r="G586" s="128"/>
      <c r="H586" s="128"/>
      <c r="I586" s="158"/>
      <c r="J586" s="158"/>
      <c r="W586" s="158"/>
    </row>
    <row r="587" spans="2:23" s="20" customFormat="1">
      <c r="B587" s="213"/>
      <c r="G587" s="128"/>
      <c r="H587" s="128"/>
      <c r="I587" s="158"/>
      <c r="J587" s="158"/>
      <c r="W587" s="158"/>
    </row>
    <row r="588" spans="2:23" s="20" customFormat="1">
      <c r="B588" s="213"/>
      <c r="G588" s="128"/>
      <c r="H588" s="128"/>
      <c r="I588" s="158"/>
      <c r="J588" s="158"/>
      <c r="W588" s="158"/>
    </row>
    <row r="589" spans="2:23" s="20" customFormat="1">
      <c r="B589" s="213"/>
      <c r="G589" s="128"/>
      <c r="H589" s="128"/>
      <c r="I589" s="158"/>
      <c r="J589" s="158"/>
      <c r="W589" s="158"/>
    </row>
    <row r="590" spans="2:23" s="20" customFormat="1">
      <c r="B590" s="213"/>
      <c r="G590" s="128"/>
      <c r="H590" s="128"/>
      <c r="I590" s="158"/>
      <c r="J590" s="158"/>
      <c r="W590" s="158"/>
    </row>
    <row r="591" spans="2:23" s="20" customFormat="1">
      <c r="B591" s="213"/>
      <c r="G591" s="128"/>
      <c r="H591" s="128"/>
      <c r="I591" s="158"/>
      <c r="J591" s="158"/>
      <c r="W591" s="158"/>
    </row>
    <row r="592" spans="2:23" s="20" customFormat="1">
      <c r="B592" s="213"/>
      <c r="G592" s="128"/>
      <c r="H592" s="128"/>
      <c r="I592" s="158"/>
      <c r="J592" s="158"/>
      <c r="W592" s="158"/>
    </row>
    <row r="593" spans="2:23" s="20" customFormat="1">
      <c r="B593" s="213"/>
      <c r="G593" s="128"/>
      <c r="H593" s="128"/>
      <c r="I593" s="158"/>
      <c r="J593" s="158"/>
      <c r="W593" s="158"/>
    </row>
    <row r="594" spans="2:23" s="20" customFormat="1">
      <c r="B594" s="213"/>
      <c r="G594" s="128"/>
      <c r="H594" s="128"/>
      <c r="I594" s="158"/>
      <c r="J594" s="158"/>
      <c r="W594" s="158"/>
    </row>
    <row r="595" spans="2:23" s="20" customFormat="1">
      <c r="B595" s="213"/>
      <c r="G595" s="128"/>
      <c r="H595" s="128"/>
      <c r="I595" s="158"/>
      <c r="J595" s="158"/>
      <c r="W595" s="158"/>
    </row>
    <row r="596" spans="2:23" s="20" customFormat="1">
      <c r="B596" s="213"/>
      <c r="G596" s="128"/>
      <c r="H596" s="128"/>
      <c r="I596" s="158"/>
      <c r="J596" s="158"/>
      <c r="W596" s="158"/>
    </row>
    <row r="597" spans="2:23" s="20" customFormat="1">
      <c r="B597" s="213"/>
      <c r="G597" s="128"/>
      <c r="H597" s="128"/>
      <c r="I597" s="158"/>
      <c r="J597" s="158"/>
      <c r="W597" s="158"/>
    </row>
    <row r="598" spans="2:23" s="20" customFormat="1">
      <c r="B598" s="213"/>
      <c r="G598" s="128"/>
      <c r="H598" s="128"/>
      <c r="I598" s="158"/>
      <c r="J598" s="158"/>
      <c r="W598" s="158"/>
    </row>
    <row r="599" spans="2:23" s="20" customFormat="1">
      <c r="B599" s="213"/>
      <c r="G599" s="128"/>
      <c r="H599" s="128"/>
      <c r="I599" s="158"/>
      <c r="J599" s="158"/>
      <c r="W599" s="158"/>
    </row>
    <row r="600" spans="2:23" s="20" customFormat="1">
      <c r="B600" s="213"/>
      <c r="G600" s="128"/>
      <c r="H600" s="128"/>
      <c r="I600" s="158"/>
      <c r="J600" s="158"/>
      <c r="W600" s="158"/>
    </row>
    <row r="601" spans="2:23" s="20" customFormat="1">
      <c r="B601" s="213"/>
      <c r="G601" s="128"/>
      <c r="H601" s="128"/>
      <c r="I601" s="158"/>
      <c r="J601" s="158"/>
      <c r="W601" s="158"/>
    </row>
    <row r="602" spans="2:23" s="20" customFormat="1">
      <c r="B602" s="213"/>
      <c r="G602" s="128"/>
      <c r="H602" s="128"/>
      <c r="I602" s="158"/>
      <c r="J602" s="158"/>
      <c r="W602" s="158"/>
    </row>
    <row r="603" spans="2:23" s="20" customFormat="1">
      <c r="B603" s="213"/>
      <c r="G603" s="128"/>
      <c r="H603" s="128"/>
      <c r="I603" s="158"/>
      <c r="J603" s="158"/>
      <c r="W603" s="158"/>
    </row>
    <row r="604" spans="2:23" s="20" customFormat="1">
      <c r="B604" s="213"/>
      <c r="G604" s="128"/>
      <c r="H604" s="128"/>
      <c r="I604" s="158"/>
      <c r="J604" s="158"/>
      <c r="W604" s="158"/>
    </row>
    <row r="605" spans="2:23" s="20" customFormat="1">
      <c r="B605" s="213"/>
      <c r="G605" s="128"/>
      <c r="H605" s="128"/>
      <c r="I605" s="158"/>
      <c r="J605" s="158"/>
      <c r="W605" s="158"/>
    </row>
    <row r="606" spans="2:23" s="20" customFormat="1">
      <c r="B606" s="213"/>
      <c r="G606" s="128"/>
      <c r="H606" s="128"/>
      <c r="I606" s="158"/>
      <c r="J606" s="158"/>
      <c r="W606" s="158"/>
    </row>
    <row r="607" spans="2:23" s="20" customFormat="1">
      <c r="B607" s="213"/>
      <c r="G607" s="128"/>
      <c r="H607" s="128"/>
      <c r="I607" s="158"/>
      <c r="J607" s="158"/>
      <c r="W607" s="158"/>
    </row>
    <row r="608" spans="2:23" s="20" customFormat="1">
      <c r="B608" s="213"/>
      <c r="G608" s="128"/>
      <c r="H608" s="128"/>
      <c r="I608" s="158"/>
      <c r="J608" s="158"/>
      <c r="W608" s="158"/>
    </row>
    <row r="609" spans="2:23" s="20" customFormat="1">
      <c r="B609" s="213"/>
      <c r="G609" s="128"/>
      <c r="H609" s="128"/>
      <c r="I609" s="158"/>
      <c r="J609" s="158"/>
      <c r="W609" s="158"/>
    </row>
    <row r="610" spans="2:23" s="20" customFormat="1">
      <c r="B610" s="213"/>
      <c r="G610" s="128"/>
      <c r="H610" s="128"/>
      <c r="I610" s="158"/>
      <c r="J610" s="158"/>
      <c r="W610" s="158"/>
    </row>
    <row r="611" spans="2:23" s="20" customFormat="1">
      <c r="B611" s="213"/>
      <c r="G611" s="128"/>
      <c r="H611" s="128"/>
      <c r="I611" s="158"/>
      <c r="J611" s="158"/>
      <c r="W611" s="158"/>
    </row>
    <row r="612" spans="2:23" s="20" customFormat="1">
      <c r="B612" s="213"/>
      <c r="G612" s="128"/>
      <c r="H612" s="128"/>
      <c r="I612" s="158"/>
      <c r="J612" s="158"/>
      <c r="W612" s="158"/>
    </row>
    <row r="613" spans="2:23" s="20" customFormat="1">
      <c r="B613" s="213"/>
      <c r="G613" s="128"/>
      <c r="H613" s="128"/>
      <c r="I613" s="158"/>
      <c r="J613" s="158"/>
      <c r="W613" s="158"/>
    </row>
    <row r="614" spans="2:23" s="20" customFormat="1">
      <c r="B614" s="213"/>
      <c r="G614" s="128"/>
      <c r="H614" s="128"/>
      <c r="I614" s="158"/>
      <c r="J614" s="158"/>
      <c r="W614" s="158"/>
    </row>
    <row r="615" spans="2:23" s="20" customFormat="1">
      <c r="B615" s="213"/>
      <c r="G615" s="128"/>
      <c r="H615" s="128"/>
      <c r="I615" s="158"/>
      <c r="J615" s="158"/>
      <c r="W615" s="158"/>
    </row>
    <row r="616" spans="2:23" s="20" customFormat="1">
      <c r="B616" s="213"/>
      <c r="G616" s="128"/>
      <c r="H616" s="128"/>
      <c r="I616" s="158"/>
      <c r="J616" s="158"/>
      <c r="W616" s="158"/>
    </row>
    <row r="617" spans="2:23" s="20" customFormat="1">
      <c r="B617" s="213"/>
      <c r="G617" s="128"/>
      <c r="H617" s="128"/>
      <c r="I617" s="158"/>
      <c r="J617" s="158"/>
      <c r="W617" s="158"/>
    </row>
    <row r="618" spans="2:23" s="20" customFormat="1">
      <c r="B618" s="213"/>
      <c r="G618" s="128"/>
      <c r="H618" s="128"/>
      <c r="I618" s="158"/>
      <c r="J618" s="158"/>
      <c r="W618" s="158"/>
    </row>
    <row r="619" spans="2:23" s="20" customFormat="1">
      <c r="B619" s="213"/>
      <c r="G619" s="128"/>
      <c r="H619" s="128"/>
      <c r="I619" s="158"/>
      <c r="J619" s="158"/>
      <c r="W619" s="158"/>
    </row>
    <row r="620" spans="2:23" s="20" customFormat="1">
      <c r="B620" s="213"/>
      <c r="G620" s="128"/>
      <c r="H620" s="128"/>
      <c r="I620" s="158"/>
      <c r="J620" s="158"/>
      <c r="W620" s="158"/>
    </row>
    <row r="621" spans="2:23" s="20" customFormat="1">
      <c r="B621" s="213"/>
      <c r="G621" s="128"/>
      <c r="H621" s="128"/>
      <c r="I621" s="158"/>
      <c r="J621" s="158"/>
      <c r="W621" s="158"/>
    </row>
    <row r="622" spans="2:23" s="20" customFormat="1">
      <c r="B622" s="213"/>
      <c r="G622" s="128"/>
      <c r="H622" s="128"/>
      <c r="I622" s="158"/>
      <c r="J622" s="158"/>
      <c r="W622" s="158"/>
    </row>
    <row r="623" spans="2:23" s="20" customFormat="1">
      <c r="B623" s="213"/>
      <c r="G623" s="128"/>
      <c r="H623" s="128"/>
      <c r="I623" s="158"/>
      <c r="J623" s="158"/>
      <c r="W623" s="158"/>
    </row>
    <row r="624" spans="2:23" s="20" customFormat="1">
      <c r="B624" s="213"/>
      <c r="G624" s="128"/>
      <c r="H624" s="128"/>
      <c r="I624" s="158"/>
      <c r="J624" s="158"/>
      <c r="W624" s="158"/>
    </row>
    <row r="625" spans="2:23" s="20" customFormat="1">
      <c r="B625" s="213"/>
      <c r="G625" s="128"/>
      <c r="H625" s="128"/>
      <c r="I625" s="158"/>
      <c r="J625" s="158"/>
      <c r="W625" s="158"/>
    </row>
    <row r="626" spans="2:23" s="20" customFormat="1">
      <c r="B626" s="213"/>
      <c r="G626" s="128"/>
      <c r="H626" s="128"/>
      <c r="I626" s="158"/>
      <c r="J626" s="158"/>
      <c r="W626" s="158"/>
    </row>
    <row r="627" spans="2:23" s="20" customFormat="1">
      <c r="B627" s="213"/>
      <c r="G627" s="128"/>
      <c r="H627" s="128"/>
      <c r="I627" s="158"/>
      <c r="J627" s="158"/>
      <c r="W627" s="158"/>
    </row>
    <row r="628" spans="2:23" s="20" customFormat="1">
      <c r="B628" s="213"/>
      <c r="G628" s="128"/>
      <c r="H628" s="128"/>
      <c r="I628" s="158"/>
      <c r="J628" s="158"/>
      <c r="W628" s="158"/>
    </row>
    <row r="629" spans="2:23" s="20" customFormat="1">
      <c r="B629" s="213"/>
      <c r="G629" s="128"/>
      <c r="H629" s="128"/>
      <c r="I629" s="158"/>
      <c r="J629" s="158"/>
      <c r="W629" s="158"/>
    </row>
    <row r="630" spans="2:23" s="20" customFormat="1">
      <c r="B630" s="213"/>
      <c r="G630" s="128"/>
      <c r="H630" s="128"/>
      <c r="I630" s="158"/>
      <c r="J630" s="158"/>
      <c r="W630" s="158"/>
    </row>
    <row r="631" spans="2:23" s="20" customFormat="1">
      <c r="B631" s="213"/>
      <c r="G631" s="128"/>
      <c r="H631" s="128"/>
      <c r="I631" s="158"/>
      <c r="J631" s="158"/>
      <c r="W631" s="158"/>
    </row>
    <row r="632" spans="2:23" s="20" customFormat="1">
      <c r="B632" s="213"/>
      <c r="G632" s="128"/>
      <c r="H632" s="128"/>
      <c r="I632" s="158"/>
      <c r="J632" s="158"/>
      <c r="W632" s="158"/>
    </row>
    <row r="633" spans="2:23" s="20" customFormat="1">
      <c r="B633" s="213"/>
      <c r="G633" s="128"/>
      <c r="H633" s="128"/>
      <c r="I633" s="158"/>
      <c r="J633" s="158"/>
      <c r="W633" s="158"/>
    </row>
    <row r="634" spans="2:23" s="20" customFormat="1">
      <c r="B634" s="213"/>
      <c r="G634" s="128"/>
      <c r="H634" s="128"/>
      <c r="I634" s="158"/>
      <c r="J634" s="158"/>
      <c r="W634" s="158"/>
    </row>
    <row r="635" spans="2:23" s="20" customFormat="1">
      <c r="B635" s="213"/>
      <c r="G635" s="128"/>
      <c r="H635" s="128"/>
      <c r="I635" s="158"/>
      <c r="J635" s="158"/>
      <c r="W635" s="158"/>
    </row>
    <row r="636" spans="2:23" s="20" customFormat="1">
      <c r="B636" s="213"/>
      <c r="G636" s="128"/>
      <c r="H636" s="128"/>
      <c r="I636" s="158"/>
      <c r="J636" s="158"/>
      <c r="W636" s="158"/>
    </row>
    <row r="637" spans="2:23" s="20" customFormat="1">
      <c r="B637" s="213"/>
      <c r="G637" s="128"/>
      <c r="H637" s="128"/>
      <c r="I637" s="158"/>
      <c r="J637" s="158"/>
      <c r="W637" s="158"/>
    </row>
    <row r="638" spans="2:23" s="20" customFormat="1">
      <c r="B638" s="213"/>
      <c r="G638" s="128"/>
      <c r="H638" s="128"/>
      <c r="I638" s="158"/>
      <c r="J638" s="158"/>
      <c r="W638" s="158"/>
    </row>
    <row r="639" spans="2:23" s="20" customFormat="1">
      <c r="B639" s="213"/>
      <c r="G639" s="128"/>
      <c r="H639" s="128"/>
      <c r="I639" s="158"/>
      <c r="J639" s="158"/>
      <c r="W639" s="158"/>
    </row>
    <row r="640" spans="2:23" s="20" customFormat="1">
      <c r="B640" s="213"/>
      <c r="G640" s="128"/>
      <c r="H640" s="128"/>
      <c r="I640" s="158"/>
      <c r="J640" s="158"/>
      <c r="W640" s="158"/>
    </row>
    <row r="641" spans="2:23" s="20" customFormat="1">
      <c r="B641" s="213"/>
      <c r="G641" s="128"/>
      <c r="H641" s="128"/>
      <c r="I641" s="158"/>
      <c r="J641" s="158"/>
      <c r="W641" s="158"/>
    </row>
    <row r="642" spans="2:23" s="20" customFormat="1">
      <c r="B642" s="213"/>
      <c r="G642" s="128"/>
      <c r="H642" s="128"/>
      <c r="I642" s="158"/>
      <c r="J642" s="158"/>
      <c r="W642" s="158"/>
    </row>
    <row r="643" spans="2:23" s="20" customFormat="1">
      <c r="B643" s="213"/>
      <c r="G643" s="128"/>
      <c r="H643" s="128"/>
      <c r="I643" s="158"/>
      <c r="J643" s="158"/>
      <c r="W643" s="158"/>
    </row>
    <row r="644" spans="2:23" s="20" customFormat="1">
      <c r="B644" s="213"/>
      <c r="G644" s="128"/>
      <c r="H644" s="128"/>
      <c r="I644" s="158"/>
      <c r="J644" s="158"/>
      <c r="W644" s="158"/>
    </row>
    <row r="645" spans="2:23" s="20" customFormat="1">
      <c r="B645" s="213"/>
      <c r="G645" s="128"/>
      <c r="H645" s="128"/>
      <c r="I645" s="158"/>
      <c r="J645" s="158"/>
      <c r="W645" s="158"/>
    </row>
    <row r="646" spans="2:23" s="20" customFormat="1">
      <c r="B646" s="213"/>
      <c r="G646" s="128"/>
      <c r="H646" s="128"/>
      <c r="I646" s="158"/>
      <c r="J646" s="158"/>
      <c r="W646" s="158"/>
    </row>
    <row r="647" spans="2:23" s="20" customFormat="1">
      <c r="B647" s="213"/>
      <c r="G647" s="128"/>
      <c r="H647" s="128"/>
      <c r="I647" s="158"/>
      <c r="J647" s="158"/>
      <c r="W647" s="158"/>
    </row>
    <row r="648" spans="2:23" s="20" customFormat="1">
      <c r="B648" s="213"/>
      <c r="G648" s="128"/>
      <c r="H648" s="128"/>
      <c r="I648" s="158"/>
      <c r="J648" s="158"/>
      <c r="W648" s="158"/>
    </row>
    <row r="649" spans="2:23" s="20" customFormat="1">
      <c r="B649" s="213"/>
      <c r="G649" s="128"/>
      <c r="H649" s="128"/>
      <c r="I649" s="158"/>
      <c r="J649" s="158"/>
      <c r="W649" s="158"/>
    </row>
    <row r="650" spans="2:23" s="20" customFormat="1">
      <c r="B650" s="213"/>
      <c r="G650" s="128"/>
      <c r="H650" s="128"/>
      <c r="I650" s="158"/>
      <c r="J650" s="158"/>
      <c r="W650" s="158"/>
    </row>
    <row r="651" spans="2:23" s="20" customFormat="1">
      <c r="B651" s="213"/>
      <c r="G651" s="128"/>
      <c r="H651" s="128"/>
      <c r="I651" s="158"/>
      <c r="J651" s="158"/>
      <c r="W651" s="158"/>
    </row>
    <row r="652" spans="2:23" s="20" customFormat="1">
      <c r="B652" s="213"/>
      <c r="G652" s="128"/>
      <c r="H652" s="128"/>
      <c r="I652" s="158"/>
      <c r="J652" s="158"/>
      <c r="W652" s="158"/>
    </row>
    <row r="653" spans="2:23" s="20" customFormat="1">
      <c r="B653" s="213"/>
      <c r="G653" s="128"/>
      <c r="H653" s="128"/>
      <c r="I653" s="158"/>
      <c r="J653" s="158"/>
      <c r="W653" s="158"/>
    </row>
    <row r="654" spans="2:23" s="20" customFormat="1">
      <c r="B654" s="213"/>
      <c r="G654" s="128"/>
      <c r="H654" s="128"/>
      <c r="I654" s="158"/>
      <c r="J654" s="158"/>
      <c r="W654" s="158"/>
    </row>
    <row r="655" spans="2:23" s="20" customFormat="1">
      <c r="B655" s="213"/>
      <c r="G655" s="128"/>
      <c r="H655" s="128"/>
      <c r="I655" s="158"/>
      <c r="J655" s="158"/>
      <c r="W655" s="158"/>
    </row>
    <row r="656" spans="2:23" s="20" customFormat="1">
      <c r="B656" s="213"/>
      <c r="G656" s="128"/>
      <c r="H656" s="128"/>
      <c r="I656" s="158"/>
      <c r="J656" s="158"/>
      <c r="W656" s="158"/>
    </row>
    <row r="657" spans="2:23" s="20" customFormat="1">
      <c r="B657" s="213"/>
      <c r="G657" s="128"/>
      <c r="H657" s="128"/>
      <c r="I657" s="158"/>
      <c r="J657" s="158"/>
      <c r="W657" s="158"/>
    </row>
    <row r="658" spans="2:23" s="20" customFormat="1">
      <c r="B658" s="213"/>
      <c r="G658" s="128"/>
      <c r="H658" s="128"/>
      <c r="I658" s="158"/>
      <c r="J658" s="158"/>
      <c r="W658" s="158"/>
    </row>
    <row r="659" spans="2:23" s="20" customFormat="1">
      <c r="B659" s="213"/>
      <c r="G659" s="128"/>
      <c r="H659" s="128"/>
      <c r="I659" s="158"/>
      <c r="J659" s="158"/>
      <c r="W659" s="158"/>
    </row>
    <row r="660" spans="2:23" s="20" customFormat="1">
      <c r="B660" s="213"/>
      <c r="G660" s="128"/>
      <c r="H660" s="128"/>
      <c r="I660" s="158"/>
      <c r="J660" s="158"/>
      <c r="W660" s="158"/>
    </row>
    <row r="661" spans="2:23" s="20" customFormat="1">
      <c r="B661" s="213"/>
      <c r="G661" s="128"/>
      <c r="H661" s="128"/>
      <c r="I661" s="158"/>
      <c r="J661" s="158"/>
      <c r="W661" s="158"/>
    </row>
    <row r="662" spans="2:23" s="20" customFormat="1">
      <c r="B662" s="213"/>
      <c r="G662" s="128"/>
      <c r="H662" s="128"/>
      <c r="I662" s="158"/>
      <c r="J662" s="158"/>
      <c r="W662" s="158"/>
    </row>
    <row r="663" spans="2:23" s="20" customFormat="1">
      <c r="B663" s="213"/>
      <c r="G663" s="128"/>
      <c r="H663" s="128"/>
      <c r="I663" s="158"/>
      <c r="J663" s="158"/>
      <c r="W663" s="158"/>
    </row>
    <row r="664" spans="2:23" s="20" customFormat="1">
      <c r="B664" s="213"/>
      <c r="G664" s="128"/>
      <c r="H664" s="128"/>
      <c r="I664" s="158"/>
      <c r="J664" s="158"/>
      <c r="W664" s="158"/>
    </row>
    <row r="665" spans="2:23" s="20" customFormat="1">
      <c r="B665" s="213"/>
      <c r="G665" s="128"/>
      <c r="H665" s="128"/>
      <c r="I665" s="158"/>
      <c r="J665" s="158"/>
      <c r="W665" s="158"/>
    </row>
    <row r="666" spans="2:23" s="20" customFormat="1">
      <c r="B666" s="213"/>
      <c r="G666" s="128"/>
      <c r="H666" s="128"/>
      <c r="I666" s="158"/>
      <c r="J666" s="158"/>
      <c r="W666" s="158"/>
    </row>
    <row r="667" spans="2:23" s="20" customFormat="1">
      <c r="B667" s="213"/>
      <c r="G667" s="128"/>
      <c r="H667" s="128"/>
      <c r="I667" s="158"/>
      <c r="J667" s="158"/>
      <c r="W667" s="158"/>
    </row>
    <row r="668" spans="2:23" s="20" customFormat="1">
      <c r="B668" s="213"/>
      <c r="G668" s="128"/>
      <c r="H668" s="128"/>
      <c r="I668" s="158"/>
      <c r="J668" s="158"/>
      <c r="W668" s="158"/>
    </row>
    <row r="669" spans="2:23" s="20" customFormat="1">
      <c r="B669" s="213"/>
      <c r="G669" s="128"/>
      <c r="H669" s="128"/>
      <c r="I669" s="158"/>
      <c r="J669" s="158"/>
      <c r="W669" s="158"/>
    </row>
    <row r="670" spans="2:23" s="20" customFormat="1">
      <c r="B670" s="213"/>
      <c r="G670" s="128"/>
      <c r="H670" s="128"/>
      <c r="I670" s="158"/>
      <c r="J670" s="158"/>
      <c r="W670" s="158"/>
    </row>
    <row r="671" spans="2:23" s="20" customFormat="1">
      <c r="B671" s="213"/>
      <c r="G671" s="128"/>
      <c r="H671" s="128"/>
      <c r="I671" s="158"/>
      <c r="J671" s="158"/>
      <c r="W671" s="158"/>
    </row>
    <row r="672" spans="2:23" s="20" customFormat="1">
      <c r="B672" s="213"/>
      <c r="G672" s="128"/>
      <c r="H672" s="128"/>
      <c r="I672" s="158"/>
      <c r="J672" s="158"/>
      <c r="W672" s="158"/>
    </row>
    <row r="673" spans="2:23" s="20" customFormat="1">
      <c r="B673" s="213"/>
      <c r="G673" s="128"/>
      <c r="H673" s="128"/>
      <c r="I673" s="158"/>
      <c r="J673" s="158"/>
      <c r="W673" s="158"/>
    </row>
    <row r="674" spans="2:23" s="20" customFormat="1">
      <c r="B674" s="213"/>
      <c r="G674" s="128"/>
      <c r="H674" s="128"/>
      <c r="I674" s="158"/>
      <c r="J674" s="158"/>
      <c r="W674" s="158"/>
    </row>
    <row r="675" spans="2:23" s="20" customFormat="1">
      <c r="B675" s="213"/>
      <c r="G675" s="128"/>
      <c r="H675" s="128"/>
      <c r="I675" s="158"/>
      <c r="J675" s="158"/>
      <c r="W675" s="158"/>
    </row>
    <row r="676" spans="2:23" s="20" customFormat="1">
      <c r="B676" s="213"/>
      <c r="G676" s="128"/>
      <c r="H676" s="128"/>
      <c r="I676" s="158"/>
      <c r="J676" s="158"/>
      <c r="W676" s="158"/>
    </row>
    <row r="677" spans="2:23" s="20" customFormat="1">
      <c r="B677" s="213"/>
      <c r="G677" s="128"/>
      <c r="H677" s="128"/>
      <c r="I677" s="158"/>
      <c r="J677" s="158"/>
      <c r="W677" s="158"/>
    </row>
    <row r="678" spans="2:23" s="20" customFormat="1">
      <c r="B678" s="213"/>
      <c r="G678" s="128"/>
      <c r="H678" s="128"/>
      <c r="I678" s="158"/>
      <c r="J678" s="158"/>
      <c r="W678" s="158"/>
    </row>
    <row r="679" spans="2:23" s="20" customFormat="1">
      <c r="B679" s="213"/>
      <c r="G679" s="128"/>
      <c r="H679" s="128"/>
      <c r="I679" s="158"/>
      <c r="J679" s="158"/>
      <c r="W679" s="158"/>
    </row>
    <row r="680" spans="2:23" s="20" customFormat="1">
      <c r="B680" s="213"/>
      <c r="G680" s="128"/>
      <c r="H680" s="128"/>
      <c r="I680" s="158"/>
      <c r="J680" s="158"/>
      <c r="W680" s="158"/>
    </row>
    <row r="681" spans="2:23" s="20" customFormat="1">
      <c r="B681" s="213"/>
      <c r="G681" s="128"/>
      <c r="H681" s="128"/>
      <c r="I681" s="158"/>
      <c r="J681" s="158"/>
      <c r="W681" s="158"/>
    </row>
    <row r="682" spans="2:23" s="20" customFormat="1">
      <c r="B682" s="213"/>
      <c r="G682" s="128"/>
      <c r="H682" s="128"/>
      <c r="I682" s="158"/>
      <c r="J682" s="158"/>
      <c r="W682" s="158"/>
    </row>
    <row r="683" spans="2:23" s="20" customFormat="1">
      <c r="B683" s="213"/>
      <c r="G683" s="128"/>
      <c r="H683" s="128"/>
      <c r="I683" s="158"/>
      <c r="J683" s="158"/>
      <c r="W683" s="158"/>
    </row>
    <row r="684" spans="2:23" s="20" customFormat="1">
      <c r="B684" s="213"/>
      <c r="G684" s="128"/>
      <c r="H684" s="128"/>
      <c r="I684" s="158"/>
      <c r="J684" s="158"/>
      <c r="W684" s="158"/>
    </row>
    <row r="685" spans="2:23" s="20" customFormat="1">
      <c r="B685" s="213"/>
      <c r="G685" s="128"/>
      <c r="H685" s="128"/>
      <c r="I685" s="158"/>
      <c r="J685" s="158"/>
      <c r="W685" s="158"/>
    </row>
    <row r="686" spans="2:23" s="20" customFormat="1">
      <c r="B686" s="213"/>
      <c r="G686" s="128"/>
      <c r="H686" s="128"/>
      <c r="I686" s="158"/>
      <c r="J686" s="158"/>
      <c r="W686" s="158"/>
    </row>
    <row r="687" spans="2:23" s="20" customFormat="1">
      <c r="B687" s="213"/>
      <c r="G687" s="128"/>
      <c r="H687" s="128"/>
      <c r="I687" s="158"/>
      <c r="J687" s="158"/>
      <c r="W687" s="158"/>
    </row>
    <row r="688" spans="2:23" s="20" customFormat="1">
      <c r="B688" s="213"/>
      <c r="G688" s="128"/>
      <c r="H688" s="128"/>
      <c r="I688" s="158"/>
      <c r="J688" s="158"/>
      <c r="W688" s="158"/>
    </row>
    <row r="689" spans="2:23" s="20" customFormat="1">
      <c r="B689" s="213"/>
      <c r="G689" s="128"/>
      <c r="H689" s="128"/>
      <c r="I689" s="158"/>
      <c r="J689" s="158"/>
      <c r="W689" s="158"/>
    </row>
    <row r="690" spans="2:23" s="20" customFormat="1">
      <c r="B690" s="213"/>
      <c r="G690" s="128"/>
      <c r="H690" s="128"/>
      <c r="I690" s="158"/>
      <c r="J690" s="158"/>
      <c r="W690" s="158"/>
    </row>
    <row r="691" spans="2:23" s="20" customFormat="1">
      <c r="B691" s="213"/>
      <c r="G691" s="128"/>
      <c r="H691" s="128"/>
      <c r="I691" s="158"/>
      <c r="J691" s="158"/>
      <c r="W691" s="158"/>
    </row>
    <row r="692" spans="2:23" s="20" customFormat="1">
      <c r="B692" s="213"/>
      <c r="G692" s="128"/>
      <c r="H692" s="128"/>
      <c r="I692" s="158"/>
      <c r="J692" s="158"/>
      <c r="W692" s="158"/>
    </row>
    <row r="693" spans="2:23" s="20" customFormat="1">
      <c r="B693" s="213"/>
      <c r="G693" s="128"/>
      <c r="H693" s="128"/>
      <c r="I693" s="158"/>
      <c r="J693" s="158"/>
      <c r="W693" s="158"/>
    </row>
    <row r="694" spans="2:23" s="20" customFormat="1">
      <c r="B694" s="213"/>
      <c r="G694" s="128"/>
      <c r="H694" s="128"/>
      <c r="I694" s="158"/>
      <c r="J694" s="158"/>
      <c r="W694" s="158"/>
    </row>
    <row r="695" spans="2:23" s="20" customFormat="1">
      <c r="B695" s="213"/>
      <c r="G695" s="128"/>
      <c r="H695" s="128"/>
      <c r="I695" s="158"/>
      <c r="J695" s="158"/>
      <c r="W695" s="158"/>
    </row>
    <row r="696" spans="2:23" s="20" customFormat="1">
      <c r="B696" s="213"/>
      <c r="G696" s="128"/>
      <c r="H696" s="128"/>
      <c r="I696" s="158"/>
      <c r="J696" s="158"/>
      <c r="W696" s="158"/>
    </row>
    <row r="697" spans="2:23" s="20" customFormat="1">
      <c r="B697" s="213"/>
      <c r="G697" s="128"/>
      <c r="H697" s="128"/>
      <c r="I697" s="158"/>
      <c r="J697" s="158"/>
      <c r="W697" s="158"/>
    </row>
    <row r="698" spans="2:23" s="20" customFormat="1">
      <c r="B698" s="213"/>
      <c r="G698" s="128"/>
      <c r="H698" s="128"/>
      <c r="I698" s="158"/>
      <c r="J698" s="158"/>
      <c r="W698" s="158"/>
    </row>
    <row r="699" spans="2:23" s="20" customFormat="1">
      <c r="B699" s="213"/>
      <c r="G699" s="128"/>
      <c r="H699" s="128"/>
      <c r="I699" s="158"/>
      <c r="J699" s="158"/>
      <c r="W699" s="158"/>
    </row>
    <row r="700" spans="2:23" s="20" customFormat="1">
      <c r="B700" s="213"/>
      <c r="G700" s="128"/>
      <c r="H700" s="128"/>
      <c r="I700" s="158"/>
      <c r="J700" s="158"/>
      <c r="W700" s="158"/>
    </row>
    <row r="701" spans="2:23" s="20" customFormat="1">
      <c r="B701" s="213"/>
      <c r="G701" s="128"/>
      <c r="H701" s="128"/>
      <c r="I701" s="158"/>
      <c r="J701" s="158"/>
      <c r="W701" s="158"/>
    </row>
    <row r="702" spans="2:23" s="20" customFormat="1">
      <c r="B702" s="213"/>
      <c r="G702" s="128"/>
      <c r="H702" s="128"/>
      <c r="I702" s="158"/>
      <c r="J702" s="158"/>
      <c r="W702" s="158"/>
    </row>
    <row r="703" spans="2:23" s="20" customFormat="1">
      <c r="B703" s="213"/>
      <c r="G703" s="128"/>
      <c r="H703" s="128"/>
      <c r="I703" s="158"/>
      <c r="J703" s="158"/>
      <c r="W703" s="158"/>
    </row>
    <row r="704" spans="2:23" s="20" customFormat="1">
      <c r="B704" s="213"/>
      <c r="G704" s="128"/>
      <c r="H704" s="128"/>
      <c r="I704" s="158"/>
      <c r="J704" s="158"/>
      <c r="W704" s="158"/>
    </row>
    <row r="705" spans="2:23" s="20" customFormat="1">
      <c r="B705" s="213"/>
      <c r="G705" s="128"/>
      <c r="H705" s="128"/>
      <c r="I705" s="158"/>
      <c r="J705" s="158"/>
      <c r="W705" s="158"/>
    </row>
    <row r="706" spans="2:23" s="20" customFormat="1">
      <c r="B706" s="213"/>
      <c r="G706" s="128"/>
      <c r="H706" s="128"/>
      <c r="I706" s="158"/>
      <c r="J706" s="158"/>
      <c r="W706" s="158"/>
    </row>
    <row r="707" spans="2:23" s="20" customFormat="1">
      <c r="B707" s="213"/>
      <c r="G707" s="128"/>
      <c r="H707" s="128"/>
      <c r="I707" s="158"/>
      <c r="J707" s="158"/>
      <c r="W707" s="158"/>
    </row>
    <row r="708" spans="2:23" s="20" customFormat="1">
      <c r="B708" s="213"/>
      <c r="G708" s="128"/>
      <c r="H708" s="128"/>
      <c r="I708" s="158"/>
      <c r="J708" s="158"/>
      <c r="W708" s="158"/>
    </row>
    <row r="709" spans="2:23" s="20" customFormat="1">
      <c r="B709" s="213"/>
      <c r="G709" s="128"/>
      <c r="H709" s="128"/>
      <c r="I709" s="158"/>
      <c r="J709" s="158"/>
      <c r="W709" s="158"/>
    </row>
    <row r="710" spans="2:23" s="20" customFormat="1">
      <c r="B710" s="213"/>
      <c r="G710" s="128"/>
      <c r="H710" s="128"/>
      <c r="I710" s="158"/>
      <c r="J710" s="158"/>
      <c r="W710" s="158"/>
    </row>
    <row r="711" spans="2:23" s="20" customFormat="1">
      <c r="B711" s="213"/>
      <c r="G711" s="128"/>
      <c r="H711" s="128"/>
      <c r="I711" s="158"/>
      <c r="J711" s="158"/>
      <c r="W711" s="158"/>
    </row>
    <row r="712" spans="2:23" s="20" customFormat="1">
      <c r="B712" s="213"/>
      <c r="G712" s="128"/>
      <c r="H712" s="128"/>
      <c r="I712" s="158"/>
      <c r="J712" s="158"/>
      <c r="W712" s="158"/>
    </row>
    <row r="713" spans="2:23" s="20" customFormat="1">
      <c r="B713" s="213"/>
      <c r="G713" s="128"/>
      <c r="H713" s="128"/>
      <c r="I713" s="158"/>
      <c r="J713" s="158"/>
      <c r="W713" s="158"/>
    </row>
    <row r="714" spans="2:23" s="20" customFormat="1">
      <c r="B714" s="213"/>
      <c r="G714" s="128"/>
      <c r="H714" s="128"/>
      <c r="I714" s="158"/>
      <c r="J714" s="158"/>
      <c r="W714" s="158"/>
    </row>
    <row r="715" spans="2:23" s="20" customFormat="1">
      <c r="B715" s="213"/>
      <c r="G715" s="128"/>
      <c r="H715" s="128"/>
      <c r="I715" s="158"/>
      <c r="J715" s="158"/>
      <c r="W715" s="158"/>
    </row>
    <row r="716" spans="2:23" s="20" customFormat="1">
      <c r="B716" s="213"/>
      <c r="G716" s="128"/>
      <c r="H716" s="128"/>
      <c r="I716" s="158"/>
      <c r="J716" s="158"/>
      <c r="W716" s="158"/>
    </row>
    <row r="717" spans="2:23" s="20" customFormat="1">
      <c r="B717" s="213"/>
      <c r="G717" s="128"/>
      <c r="H717" s="128"/>
      <c r="I717" s="158"/>
      <c r="J717" s="158"/>
      <c r="W717" s="158"/>
    </row>
    <row r="718" spans="2:23" s="20" customFormat="1">
      <c r="B718" s="213"/>
      <c r="G718" s="128"/>
      <c r="H718" s="128"/>
      <c r="I718" s="158"/>
      <c r="J718" s="158"/>
      <c r="W718" s="158"/>
    </row>
    <row r="719" spans="2:23" s="20" customFormat="1">
      <c r="B719" s="213"/>
      <c r="G719" s="128"/>
      <c r="H719" s="128"/>
      <c r="I719" s="158"/>
      <c r="J719" s="158"/>
      <c r="W719" s="158"/>
    </row>
    <row r="720" spans="2:23" s="20" customFormat="1">
      <c r="B720" s="213"/>
      <c r="G720" s="128"/>
      <c r="H720" s="128"/>
      <c r="I720" s="158"/>
      <c r="J720" s="158"/>
      <c r="W720" s="158"/>
    </row>
    <row r="721" spans="2:23" s="20" customFormat="1">
      <c r="B721" s="213"/>
      <c r="G721" s="128"/>
      <c r="H721" s="128"/>
      <c r="I721" s="158"/>
      <c r="J721" s="158"/>
      <c r="W721" s="158"/>
    </row>
    <row r="722" spans="2:23" s="20" customFormat="1">
      <c r="B722" s="213"/>
      <c r="G722" s="128"/>
      <c r="H722" s="128"/>
      <c r="I722" s="158"/>
      <c r="J722" s="158"/>
      <c r="W722" s="158"/>
    </row>
    <row r="723" spans="2:23" s="20" customFormat="1">
      <c r="B723" s="213"/>
      <c r="G723" s="128"/>
      <c r="H723" s="128"/>
      <c r="I723" s="158"/>
      <c r="J723" s="158"/>
      <c r="W723" s="158"/>
    </row>
    <row r="724" spans="2:23" s="20" customFormat="1">
      <c r="B724" s="213"/>
      <c r="G724" s="128"/>
      <c r="H724" s="128"/>
      <c r="I724" s="158"/>
      <c r="J724" s="158"/>
      <c r="W724" s="158"/>
    </row>
    <row r="725" spans="2:23" s="20" customFormat="1">
      <c r="B725" s="213"/>
      <c r="G725" s="128"/>
      <c r="H725" s="128"/>
      <c r="I725" s="158"/>
      <c r="J725" s="158"/>
      <c r="W725" s="158"/>
    </row>
    <row r="726" spans="2:23" s="20" customFormat="1">
      <c r="B726" s="213"/>
      <c r="G726" s="128"/>
      <c r="H726" s="128"/>
      <c r="I726" s="158"/>
      <c r="J726" s="158"/>
      <c r="W726" s="158"/>
    </row>
    <row r="727" spans="2:23" s="20" customFormat="1">
      <c r="B727" s="213"/>
      <c r="G727" s="128"/>
      <c r="H727" s="128"/>
      <c r="I727" s="158"/>
      <c r="J727" s="158"/>
      <c r="W727" s="158"/>
    </row>
    <row r="728" spans="2:23" s="20" customFormat="1">
      <c r="B728" s="213"/>
      <c r="G728" s="128"/>
      <c r="H728" s="128"/>
      <c r="I728" s="158"/>
      <c r="J728" s="158"/>
      <c r="W728" s="158"/>
    </row>
    <row r="729" spans="2:23" s="20" customFormat="1">
      <c r="B729" s="213"/>
      <c r="G729" s="128"/>
      <c r="H729" s="128"/>
      <c r="I729" s="158"/>
      <c r="J729" s="158"/>
      <c r="W729" s="158"/>
    </row>
    <row r="730" spans="2:23" s="20" customFormat="1">
      <c r="B730" s="213"/>
      <c r="G730" s="128"/>
      <c r="H730" s="128"/>
      <c r="I730" s="158"/>
      <c r="J730" s="158"/>
      <c r="W730" s="158"/>
    </row>
    <row r="731" spans="2:23" s="20" customFormat="1">
      <c r="B731" s="213"/>
      <c r="G731" s="128"/>
      <c r="H731" s="128"/>
      <c r="I731" s="158"/>
      <c r="J731" s="158"/>
      <c r="W731" s="158"/>
    </row>
    <row r="732" spans="2:23" s="20" customFormat="1">
      <c r="B732" s="213"/>
      <c r="G732" s="128"/>
      <c r="H732" s="128"/>
      <c r="I732" s="158"/>
      <c r="J732" s="158"/>
      <c r="W732" s="158"/>
    </row>
    <row r="733" spans="2:23" s="20" customFormat="1">
      <c r="B733" s="213"/>
      <c r="G733" s="128"/>
      <c r="H733" s="128"/>
      <c r="I733" s="158"/>
      <c r="J733" s="158"/>
      <c r="W733" s="158"/>
    </row>
    <row r="734" spans="2:23" s="20" customFormat="1">
      <c r="B734" s="213"/>
      <c r="G734" s="128"/>
      <c r="H734" s="128"/>
      <c r="I734" s="158"/>
      <c r="J734" s="158"/>
      <c r="W734" s="158"/>
    </row>
    <row r="735" spans="2:23" s="20" customFormat="1">
      <c r="B735" s="213"/>
      <c r="G735" s="128"/>
      <c r="H735" s="128"/>
      <c r="I735" s="158"/>
      <c r="J735" s="158"/>
      <c r="W735" s="158"/>
    </row>
    <row r="736" spans="2:23" s="20" customFormat="1">
      <c r="B736" s="213"/>
      <c r="G736" s="128"/>
      <c r="H736" s="128"/>
      <c r="I736" s="158"/>
      <c r="J736" s="158"/>
      <c r="W736" s="158"/>
    </row>
    <row r="737" spans="2:23" s="20" customFormat="1">
      <c r="B737" s="213"/>
      <c r="G737" s="128"/>
      <c r="H737" s="128"/>
      <c r="I737" s="158"/>
      <c r="J737" s="158"/>
      <c r="W737" s="158"/>
    </row>
    <row r="738" spans="2:23" s="20" customFormat="1">
      <c r="B738" s="213"/>
      <c r="G738" s="128"/>
      <c r="H738" s="128"/>
      <c r="I738" s="158"/>
      <c r="J738" s="158"/>
      <c r="W738" s="158"/>
    </row>
    <row r="739" spans="2:23" s="20" customFormat="1">
      <c r="B739" s="213"/>
      <c r="G739" s="128"/>
      <c r="H739" s="128"/>
      <c r="I739" s="158"/>
      <c r="J739" s="158"/>
      <c r="W739" s="158"/>
    </row>
    <row r="740" spans="2:23" s="20" customFormat="1">
      <c r="B740" s="213"/>
      <c r="G740" s="128"/>
      <c r="H740" s="128"/>
      <c r="I740" s="158"/>
      <c r="J740" s="158"/>
      <c r="W740" s="158"/>
    </row>
    <row r="741" spans="2:23" s="20" customFormat="1">
      <c r="B741" s="213"/>
      <c r="G741" s="128"/>
      <c r="H741" s="128"/>
      <c r="I741" s="158"/>
      <c r="J741" s="158"/>
      <c r="W741" s="158"/>
    </row>
    <row r="742" spans="2:23" s="20" customFormat="1">
      <c r="B742" s="213"/>
      <c r="G742" s="128"/>
      <c r="H742" s="128"/>
      <c r="I742" s="158"/>
      <c r="J742" s="158"/>
      <c r="W742" s="158"/>
    </row>
    <row r="743" spans="2:23" s="20" customFormat="1">
      <c r="B743" s="213"/>
      <c r="G743" s="128"/>
      <c r="H743" s="128"/>
      <c r="I743" s="158"/>
      <c r="J743" s="158"/>
      <c r="W743" s="158"/>
    </row>
    <row r="744" spans="2:23" s="20" customFormat="1">
      <c r="B744" s="213"/>
      <c r="G744" s="128"/>
      <c r="H744" s="128"/>
      <c r="I744" s="158"/>
      <c r="J744" s="158"/>
      <c r="W744" s="158"/>
    </row>
    <row r="745" spans="2:23" s="20" customFormat="1">
      <c r="B745" s="213"/>
      <c r="G745" s="128"/>
      <c r="H745" s="128"/>
      <c r="I745" s="158"/>
      <c r="J745" s="158"/>
      <c r="W745" s="158"/>
    </row>
    <row r="746" spans="2:23" s="20" customFormat="1">
      <c r="B746" s="213"/>
      <c r="G746" s="128"/>
      <c r="H746" s="128"/>
      <c r="I746" s="158"/>
      <c r="J746" s="158"/>
      <c r="W746" s="158"/>
    </row>
    <row r="747" spans="2:23" s="20" customFormat="1">
      <c r="B747" s="213"/>
      <c r="G747" s="128"/>
      <c r="H747" s="128"/>
      <c r="I747" s="158"/>
      <c r="J747" s="158"/>
      <c r="W747" s="158"/>
    </row>
    <row r="748" spans="2:23" s="20" customFormat="1">
      <c r="B748" s="213"/>
      <c r="G748" s="128"/>
      <c r="H748" s="128"/>
      <c r="I748" s="158"/>
      <c r="J748" s="158"/>
      <c r="W748" s="158"/>
    </row>
    <row r="749" spans="2:23" s="20" customFormat="1">
      <c r="B749" s="213"/>
      <c r="G749" s="128"/>
      <c r="H749" s="128"/>
      <c r="I749" s="158"/>
      <c r="J749" s="158"/>
      <c r="W749" s="158"/>
    </row>
    <row r="750" spans="2:23" s="20" customFormat="1">
      <c r="B750" s="213"/>
      <c r="G750" s="128"/>
      <c r="H750" s="128"/>
      <c r="I750" s="158"/>
      <c r="J750" s="158"/>
      <c r="W750" s="158"/>
    </row>
    <row r="751" spans="2:23" s="20" customFormat="1">
      <c r="B751" s="213"/>
      <c r="G751" s="128"/>
      <c r="H751" s="128"/>
      <c r="I751" s="158"/>
      <c r="J751" s="158"/>
      <c r="W751" s="158"/>
    </row>
    <row r="752" spans="2:23" s="20" customFormat="1">
      <c r="B752" s="213"/>
      <c r="G752" s="128"/>
      <c r="H752" s="128"/>
      <c r="I752" s="158"/>
      <c r="J752" s="158"/>
      <c r="W752" s="158"/>
    </row>
    <row r="753" spans="2:23" s="20" customFormat="1">
      <c r="B753" s="213"/>
      <c r="G753" s="128"/>
      <c r="H753" s="128"/>
      <c r="I753" s="158"/>
      <c r="J753" s="158"/>
      <c r="W753" s="158"/>
    </row>
    <row r="754" spans="2:23" s="20" customFormat="1">
      <c r="B754" s="213"/>
      <c r="G754" s="128"/>
      <c r="H754" s="128"/>
      <c r="I754" s="158"/>
      <c r="J754" s="158"/>
      <c r="W754" s="158"/>
    </row>
    <row r="755" spans="2:23" s="20" customFormat="1">
      <c r="B755" s="213"/>
      <c r="G755" s="128"/>
      <c r="H755" s="128"/>
      <c r="I755" s="158"/>
      <c r="J755" s="158"/>
      <c r="W755" s="158"/>
    </row>
    <row r="756" spans="2:23" s="20" customFormat="1">
      <c r="B756" s="213"/>
      <c r="G756" s="128"/>
      <c r="H756" s="128"/>
      <c r="I756" s="158"/>
      <c r="J756" s="158"/>
      <c r="W756" s="158"/>
    </row>
    <row r="757" spans="2:23" s="20" customFormat="1">
      <c r="B757" s="213"/>
      <c r="G757" s="128"/>
      <c r="H757" s="128"/>
      <c r="I757" s="158"/>
      <c r="J757" s="158"/>
      <c r="W757" s="158"/>
    </row>
    <row r="758" spans="2:23" s="20" customFormat="1">
      <c r="B758" s="213"/>
      <c r="G758" s="128"/>
      <c r="H758" s="128"/>
      <c r="I758" s="158"/>
      <c r="J758" s="158"/>
      <c r="W758" s="158"/>
    </row>
    <row r="759" spans="2:23" s="20" customFormat="1">
      <c r="B759" s="213"/>
      <c r="G759" s="128"/>
      <c r="H759" s="128"/>
      <c r="I759" s="158"/>
      <c r="J759" s="158"/>
      <c r="W759" s="158"/>
    </row>
    <row r="760" spans="2:23" s="20" customFormat="1">
      <c r="B760" s="213"/>
      <c r="G760" s="128"/>
      <c r="H760" s="128"/>
      <c r="I760" s="158"/>
      <c r="J760" s="158"/>
      <c r="W760" s="158"/>
    </row>
    <row r="761" spans="2:23" s="20" customFormat="1">
      <c r="B761" s="213"/>
      <c r="G761" s="128"/>
      <c r="H761" s="128"/>
      <c r="I761" s="158"/>
      <c r="J761" s="158"/>
      <c r="W761" s="158"/>
    </row>
    <row r="762" spans="2:23" s="20" customFormat="1">
      <c r="B762" s="213"/>
      <c r="G762" s="128"/>
      <c r="H762" s="128"/>
      <c r="I762" s="158"/>
      <c r="J762" s="158"/>
      <c r="W762" s="158"/>
    </row>
    <row r="763" spans="2:23" s="20" customFormat="1">
      <c r="B763" s="213"/>
      <c r="G763" s="128"/>
      <c r="H763" s="128"/>
      <c r="I763" s="158"/>
      <c r="J763" s="158"/>
      <c r="W763" s="158"/>
    </row>
    <row r="764" spans="2:23" s="20" customFormat="1">
      <c r="B764" s="213"/>
      <c r="G764" s="128"/>
      <c r="H764" s="128"/>
      <c r="I764" s="158"/>
      <c r="J764" s="158"/>
      <c r="W764" s="158"/>
    </row>
    <row r="765" spans="2:23" s="20" customFormat="1">
      <c r="B765" s="213"/>
      <c r="G765" s="128"/>
      <c r="H765" s="128"/>
      <c r="I765" s="158"/>
      <c r="J765" s="158"/>
      <c r="W765" s="158"/>
    </row>
    <row r="766" spans="2:23" s="20" customFormat="1">
      <c r="B766" s="213"/>
      <c r="G766" s="128"/>
      <c r="H766" s="128"/>
      <c r="I766" s="158"/>
      <c r="J766" s="158"/>
      <c r="W766" s="158"/>
    </row>
    <row r="767" spans="2:23" s="20" customFormat="1">
      <c r="B767" s="213"/>
      <c r="G767" s="128"/>
      <c r="H767" s="128"/>
      <c r="I767" s="158"/>
      <c r="J767" s="158"/>
      <c r="W767" s="158"/>
    </row>
    <row r="768" spans="2:23" s="20" customFormat="1">
      <c r="B768" s="213"/>
      <c r="G768" s="128"/>
      <c r="H768" s="128"/>
      <c r="I768" s="158"/>
      <c r="J768" s="158"/>
      <c r="W768" s="158"/>
    </row>
    <row r="769" spans="2:23" s="20" customFormat="1">
      <c r="B769" s="213"/>
      <c r="G769" s="128"/>
      <c r="H769" s="128"/>
      <c r="I769" s="158"/>
      <c r="J769" s="158"/>
      <c r="W769" s="158"/>
    </row>
    <row r="770" spans="2:23" s="20" customFormat="1">
      <c r="B770" s="213"/>
      <c r="G770" s="128"/>
      <c r="H770" s="128"/>
      <c r="I770" s="158"/>
      <c r="J770" s="158"/>
      <c r="W770" s="158"/>
    </row>
    <row r="771" spans="2:23" s="20" customFormat="1">
      <c r="B771" s="213"/>
      <c r="G771" s="128"/>
      <c r="H771" s="128"/>
      <c r="I771" s="158"/>
      <c r="J771" s="158"/>
      <c r="W771" s="158"/>
    </row>
    <row r="772" spans="2:23" s="20" customFormat="1">
      <c r="B772" s="213"/>
      <c r="G772" s="128"/>
      <c r="H772" s="128"/>
      <c r="I772" s="158"/>
      <c r="J772" s="158"/>
      <c r="W772" s="158"/>
    </row>
    <row r="773" spans="2:23" s="20" customFormat="1">
      <c r="B773" s="213"/>
      <c r="G773" s="128"/>
      <c r="H773" s="128"/>
      <c r="I773" s="158"/>
      <c r="J773" s="158"/>
      <c r="W773" s="158"/>
    </row>
    <row r="774" spans="2:23" s="20" customFormat="1">
      <c r="B774" s="213"/>
      <c r="G774" s="128"/>
      <c r="H774" s="128"/>
      <c r="I774" s="158"/>
      <c r="J774" s="158"/>
      <c r="W774" s="158"/>
    </row>
    <row r="775" spans="2:23" s="20" customFormat="1">
      <c r="B775" s="213"/>
      <c r="G775" s="128"/>
      <c r="H775" s="128"/>
      <c r="I775" s="158"/>
      <c r="J775" s="158"/>
      <c r="W775" s="158"/>
    </row>
    <row r="776" spans="2:23" s="20" customFormat="1">
      <c r="B776" s="213"/>
      <c r="G776" s="128"/>
      <c r="H776" s="128"/>
      <c r="I776" s="158"/>
      <c r="J776" s="158"/>
      <c r="W776" s="158"/>
    </row>
    <row r="777" spans="2:23" s="20" customFormat="1">
      <c r="B777" s="213"/>
      <c r="G777" s="128"/>
      <c r="H777" s="128"/>
      <c r="I777" s="158"/>
      <c r="J777" s="158"/>
      <c r="W777" s="158"/>
    </row>
    <row r="778" spans="2:23" s="20" customFormat="1">
      <c r="B778" s="213"/>
      <c r="G778" s="128"/>
      <c r="H778" s="128"/>
      <c r="I778" s="158"/>
      <c r="J778" s="158"/>
      <c r="W778" s="158"/>
    </row>
    <row r="779" spans="2:23" s="20" customFormat="1">
      <c r="B779" s="213"/>
      <c r="G779" s="128"/>
      <c r="H779" s="128"/>
      <c r="I779" s="158"/>
      <c r="J779" s="158"/>
      <c r="W779" s="158"/>
    </row>
    <row r="780" spans="2:23" s="20" customFormat="1">
      <c r="B780" s="213"/>
      <c r="G780" s="128"/>
      <c r="H780" s="128"/>
      <c r="I780" s="158"/>
      <c r="J780" s="158"/>
      <c r="W780" s="158"/>
    </row>
    <row r="781" spans="2:23" s="20" customFormat="1">
      <c r="B781" s="213"/>
      <c r="G781" s="128"/>
      <c r="H781" s="128"/>
      <c r="I781" s="158"/>
      <c r="J781" s="158"/>
      <c r="W781" s="158"/>
    </row>
    <row r="782" spans="2:23" s="20" customFormat="1">
      <c r="B782" s="213"/>
      <c r="G782" s="128"/>
      <c r="H782" s="128"/>
      <c r="I782" s="158"/>
      <c r="J782" s="158"/>
      <c r="W782" s="158"/>
    </row>
    <row r="783" spans="2:23" s="20" customFormat="1">
      <c r="B783" s="213"/>
      <c r="G783" s="128"/>
      <c r="H783" s="128"/>
      <c r="I783" s="158"/>
      <c r="J783" s="158"/>
      <c r="W783" s="158"/>
    </row>
    <row r="784" spans="2:23" s="20" customFormat="1">
      <c r="B784" s="213"/>
      <c r="G784" s="128"/>
      <c r="H784" s="128"/>
      <c r="I784" s="158"/>
      <c r="J784" s="158"/>
      <c r="W784" s="158"/>
    </row>
    <row r="785" spans="2:23" s="20" customFormat="1">
      <c r="B785" s="213"/>
      <c r="G785" s="128"/>
      <c r="H785" s="128"/>
      <c r="I785" s="158"/>
      <c r="J785" s="158"/>
      <c r="W785" s="158"/>
    </row>
    <row r="786" spans="2:23" s="20" customFormat="1">
      <c r="B786" s="213"/>
      <c r="G786" s="128"/>
      <c r="H786" s="128"/>
      <c r="I786" s="158"/>
      <c r="J786" s="158"/>
      <c r="W786" s="158"/>
    </row>
    <row r="787" spans="2:23" s="20" customFormat="1">
      <c r="B787" s="213"/>
      <c r="G787" s="128"/>
      <c r="H787" s="128"/>
      <c r="I787" s="158"/>
      <c r="J787" s="158"/>
      <c r="W787" s="158"/>
    </row>
    <row r="788" spans="2:23" s="20" customFormat="1">
      <c r="B788" s="213"/>
      <c r="G788" s="128"/>
      <c r="H788" s="128"/>
      <c r="I788" s="158"/>
      <c r="J788" s="158"/>
      <c r="W788" s="158"/>
    </row>
    <row r="789" spans="2:23" s="20" customFormat="1">
      <c r="B789" s="213"/>
      <c r="G789" s="128"/>
      <c r="H789" s="128"/>
      <c r="I789" s="158"/>
      <c r="J789" s="158"/>
      <c r="W789" s="158"/>
    </row>
    <row r="790" spans="2:23" s="20" customFormat="1">
      <c r="B790" s="213"/>
      <c r="G790" s="128"/>
      <c r="H790" s="128"/>
      <c r="I790" s="158"/>
      <c r="J790" s="158"/>
      <c r="W790" s="158"/>
    </row>
    <row r="791" spans="2:23" s="20" customFormat="1">
      <c r="B791" s="213"/>
      <c r="G791" s="128"/>
      <c r="H791" s="128"/>
      <c r="I791" s="158"/>
      <c r="J791" s="158"/>
      <c r="W791" s="158"/>
    </row>
    <row r="792" spans="2:23" s="20" customFormat="1">
      <c r="B792" s="213"/>
      <c r="G792" s="128"/>
      <c r="H792" s="128"/>
      <c r="I792" s="158"/>
      <c r="J792" s="158"/>
      <c r="W792" s="158"/>
    </row>
    <row r="793" spans="2:23" s="20" customFormat="1">
      <c r="B793" s="213"/>
      <c r="G793" s="128"/>
      <c r="H793" s="128"/>
      <c r="I793" s="158"/>
      <c r="J793" s="158"/>
      <c r="W793" s="158"/>
    </row>
    <row r="794" spans="2:23" s="20" customFormat="1">
      <c r="B794" s="213"/>
      <c r="G794" s="128"/>
      <c r="H794" s="128"/>
      <c r="I794" s="158"/>
      <c r="J794" s="158"/>
      <c r="W794" s="158"/>
    </row>
    <row r="795" spans="2:23" s="20" customFormat="1">
      <c r="B795" s="213"/>
      <c r="G795" s="128"/>
      <c r="H795" s="128"/>
      <c r="I795" s="158"/>
      <c r="J795" s="158"/>
      <c r="W795" s="158"/>
    </row>
    <row r="796" spans="2:23" s="20" customFormat="1">
      <c r="B796" s="213"/>
      <c r="G796" s="128"/>
      <c r="H796" s="128"/>
      <c r="I796" s="158"/>
      <c r="J796" s="158"/>
      <c r="W796" s="158"/>
    </row>
    <row r="797" spans="2:23" s="20" customFormat="1">
      <c r="B797" s="213"/>
      <c r="G797" s="128"/>
      <c r="H797" s="128"/>
      <c r="I797" s="158"/>
      <c r="J797" s="158"/>
      <c r="W797" s="158"/>
    </row>
    <row r="798" spans="2:23" s="20" customFormat="1">
      <c r="B798" s="213"/>
      <c r="G798" s="128"/>
      <c r="H798" s="128"/>
      <c r="I798" s="158"/>
      <c r="J798" s="158"/>
      <c r="W798" s="158"/>
    </row>
    <row r="799" spans="2:23" s="20" customFormat="1">
      <c r="B799" s="213"/>
      <c r="G799" s="128"/>
      <c r="H799" s="128"/>
      <c r="I799" s="158"/>
      <c r="J799" s="158"/>
      <c r="W799" s="158"/>
    </row>
    <row r="800" spans="2:23" s="20" customFormat="1">
      <c r="B800" s="213"/>
      <c r="G800" s="128"/>
      <c r="H800" s="128"/>
      <c r="I800" s="158"/>
      <c r="J800" s="158"/>
      <c r="W800" s="158"/>
    </row>
    <row r="801" spans="2:23" s="20" customFormat="1">
      <c r="B801" s="213"/>
      <c r="G801" s="128"/>
      <c r="H801" s="128"/>
      <c r="I801" s="158"/>
      <c r="J801" s="158"/>
      <c r="W801" s="158"/>
    </row>
    <row r="802" spans="2:23" s="20" customFormat="1">
      <c r="B802" s="213"/>
      <c r="G802" s="128"/>
      <c r="H802" s="128"/>
      <c r="I802" s="158"/>
      <c r="J802" s="158"/>
      <c r="W802" s="158"/>
    </row>
    <row r="803" spans="2:23" s="20" customFormat="1">
      <c r="B803" s="213"/>
      <c r="G803" s="128"/>
      <c r="H803" s="128"/>
      <c r="I803" s="158"/>
      <c r="J803" s="158"/>
      <c r="W803" s="158"/>
    </row>
    <row r="804" spans="2:23" s="20" customFormat="1">
      <c r="B804" s="213"/>
      <c r="G804" s="128"/>
      <c r="H804" s="128"/>
      <c r="I804" s="158"/>
      <c r="J804" s="158"/>
      <c r="W804" s="158"/>
    </row>
    <row r="805" spans="2:23" s="20" customFormat="1">
      <c r="B805" s="213"/>
      <c r="G805" s="128"/>
      <c r="H805" s="128"/>
      <c r="I805" s="158"/>
      <c r="J805" s="158"/>
      <c r="W805" s="158"/>
    </row>
    <row r="806" spans="2:23" s="20" customFormat="1">
      <c r="B806" s="213"/>
      <c r="G806" s="128"/>
      <c r="H806" s="128"/>
      <c r="I806" s="158"/>
      <c r="J806" s="158"/>
      <c r="W806" s="158"/>
    </row>
    <row r="807" spans="2:23" s="20" customFormat="1">
      <c r="B807" s="213"/>
      <c r="G807" s="128"/>
      <c r="H807" s="128"/>
      <c r="I807" s="158"/>
      <c r="J807" s="158"/>
      <c r="W807" s="158"/>
    </row>
    <row r="808" spans="2:23" s="20" customFormat="1">
      <c r="B808" s="213"/>
      <c r="G808" s="128"/>
      <c r="H808" s="128"/>
      <c r="I808" s="158"/>
      <c r="J808" s="158"/>
      <c r="W808" s="158"/>
    </row>
    <row r="809" spans="2:23" s="20" customFormat="1">
      <c r="B809" s="213"/>
      <c r="G809" s="128"/>
      <c r="H809" s="128"/>
      <c r="I809" s="158"/>
      <c r="J809" s="158"/>
      <c r="W809" s="158"/>
    </row>
    <row r="810" spans="2:23" s="20" customFormat="1">
      <c r="B810" s="213"/>
      <c r="G810" s="128"/>
      <c r="H810" s="128"/>
      <c r="I810" s="158"/>
      <c r="J810" s="158"/>
      <c r="W810" s="158"/>
    </row>
    <row r="811" spans="2:23" s="20" customFormat="1">
      <c r="B811" s="213"/>
      <c r="G811" s="128"/>
      <c r="H811" s="128"/>
      <c r="I811" s="158"/>
      <c r="J811" s="158"/>
      <c r="W811" s="158"/>
    </row>
    <row r="812" spans="2:23" s="20" customFormat="1">
      <c r="B812" s="213"/>
      <c r="G812" s="128"/>
      <c r="H812" s="128"/>
      <c r="I812" s="158"/>
      <c r="J812" s="158"/>
      <c r="W812" s="158"/>
    </row>
    <row r="813" spans="2:23" s="20" customFormat="1">
      <c r="B813" s="213"/>
      <c r="G813" s="128"/>
      <c r="H813" s="128"/>
      <c r="I813" s="158"/>
      <c r="J813" s="158"/>
      <c r="W813" s="158"/>
    </row>
    <row r="814" spans="2:23" s="20" customFormat="1">
      <c r="B814" s="213"/>
      <c r="G814" s="128"/>
      <c r="H814" s="128"/>
      <c r="I814" s="158"/>
      <c r="J814" s="158"/>
      <c r="W814" s="158"/>
    </row>
    <row r="815" spans="2:23" s="20" customFormat="1">
      <c r="B815" s="213"/>
      <c r="G815" s="128"/>
      <c r="H815" s="128"/>
      <c r="I815" s="158"/>
      <c r="J815" s="158"/>
      <c r="W815" s="158"/>
    </row>
    <row r="816" spans="2:23" s="20" customFormat="1">
      <c r="B816" s="213"/>
      <c r="G816" s="128"/>
      <c r="H816" s="128"/>
      <c r="I816" s="158"/>
      <c r="J816" s="158"/>
      <c r="W816" s="158"/>
    </row>
    <row r="817" spans="2:23" s="20" customFormat="1">
      <c r="B817" s="213"/>
      <c r="G817" s="128"/>
      <c r="H817" s="128"/>
      <c r="I817" s="158"/>
      <c r="J817" s="158"/>
      <c r="W817" s="158"/>
    </row>
    <row r="818" spans="2:23" s="20" customFormat="1">
      <c r="B818" s="213"/>
      <c r="G818" s="128"/>
      <c r="H818" s="128"/>
      <c r="I818" s="158"/>
      <c r="J818" s="158"/>
      <c r="W818" s="158"/>
    </row>
    <row r="819" spans="2:23" s="20" customFormat="1">
      <c r="B819" s="213"/>
      <c r="G819" s="128"/>
      <c r="H819" s="128"/>
      <c r="I819" s="158"/>
      <c r="J819" s="158"/>
      <c r="W819" s="158"/>
    </row>
    <row r="820" spans="2:23" s="20" customFormat="1">
      <c r="B820" s="213"/>
      <c r="G820" s="128"/>
      <c r="H820" s="128"/>
      <c r="I820" s="158"/>
      <c r="J820" s="158"/>
      <c r="W820" s="158"/>
    </row>
    <row r="821" spans="2:23" s="20" customFormat="1">
      <c r="B821" s="213"/>
      <c r="G821" s="128"/>
      <c r="H821" s="128"/>
      <c r="I821" s="158"/>
      <c r="J821" s="158"/>
      <c r="W821" s="158"/>
    </row>
    <row r="822" spans="2:23" s="20" customFormat="1">
      <c r="B822" s="213"/>
      <c r="G822" s="128"/>
      <c r="H822" s="128"/>
      <c r="I822" s="158"/>
      <c r="J822" s="158"/>
      <c r="W822" s="158"/>
    </row>
    <row r="823" spans="2:23" s="20" customFormat="1">
      <c r="B823" s="213"/>
      <c r="G823" s="128"/>
      <c r="H823" s="128"/>
      <c r="I823" s="158"/>
      <c r="J823" s="158"/>
      <c r="W823" s="158"/>
    </row>
    <row r="824" spans="2:23" s="20" customFormat="1">
      <c r="B824" s="213"/>
      <c r="G824" s="128"/>
      <c r="H824" s="128"/>
      <c r="I824" s="158"/>
      <c r="J824" s="158"/>
      <c r="W824" s="158"/>
    </row>
    <row r="825" spans="2:23" s="20" customFormat="1">
      <c r="B825" s="213"/>
      <c r="G825" s="128"/>
      <c r="H825" s="128"/>
      <c r="I825" s="158"/>
      <c r="J825" s="158"/>
      <c r="W825" s="158"/>
    </row>
    <row r="826" spans="2:23" s="20" customFormat="1">
      <c r="B826" s="213"/>
      <c r="G826" s="128"/>
      <c r="H826" s="128"/>
      <c r="I826" s="158"/>
      <c r="J826" s="158"/>
      <c r="W826" s="158"/>
    </row>
    <row r="827" spans="2:23" s="20" customFormat="1">
      <c r="B827" s="213"/>
      <c r="G827" s="128"/>
      <c r="H827" s="128"/>
      <c r="I827" s="158"/>
      <c r="J827" s="158"/>
      <c r="W827" s="158"/>
    </row>
    <row r="828" spans="2:23" s="20" customFormat="1">
      <c r="B828" s="213"/>
      <c r="G828" s="128"/>
      <c r="H828" s="128"/>
      <c r="I828" s="158"/>
      <c r="J828" s="158"/>
      <c r="W828" s="158"/>
    </row>
    <row r="829" spans="2:23" s="20" customFormat="1">
      <c r="B829" s="213"/>
      <c r="G829" s="128"/>
      <c r="H829" s="128"/>
      <c r="I829" s="158"/>
      <c r="J829" s="158"/>
      <c r="W829" s="158"/>
    </row>
    <row r="830" spans="2:23" s="20" customFormat="1">
      <c r="B830" s="213"/>
      <c r="G830" s="128"/>
      <c r="H830" s="128"/>
      <c r="I830" s="158"/>
      <c r="J830" s="158"/>
      <c r="W830" s="158"/>
    </row>
    <row r="831" spans="2:23" s="20" customFormat="1">
      <c r="B831" s="213"/>
      <c r="G831" s="128"/>
      <c r="H831" s="128"/>
      <c r="I831" s="158"/>
      <c r="J831" s="158"/>
      <c r="W831" s="158"/>
    </row>
    <row r="832" spans="2:23" s="20" customFormat="1">
      <c r="B832" s="213"/>
      <c r="G832" s="128"/>
      <c r="H832" s="128"/>
      <c r="I832" s="158"/>
      <c r="J832" s="158"/>
      <c r="W832" s="158"/>
    </row>
    <row r="833" spans="2:23" s="20" customFormat="1">
      <c r="B833" s="213"/>
      <c r="G833" s="128"/>
      <c r="H833" s="128"/>
      <c r="I833" s="158"/>
      <c r="J833" s="158"/>
      <c r="W833" s="158"/>
    </row>
    <row r="834" spans="2:23" s="20" customFormat="1">
      <c r="B834" s="213"/>
      <c r="G834" s="128"/>
      <c r="H834" s="128"/>
      <c r="I834" s="158"/>
      <c r="J834" s="158"/>
      <c r="W834" s="158"/>
    </row>
    <row r="835" spans="2:23" s="20" customFormat="1">
      <c r="B835" s="213"/>
      <c r="G835" s="128"/>
      <c r="H835" s="128"/>
      <c r="I835" s="158"/>
      <c r="J835" s="158"/>
      <c r="W835" s="158"/>
    </row>
    <row r="836" spans="2:23" s="20" customFormat="1">
      <c r="B836" s="213"/>
      <c r="G836" s="128"/>
      <c r="H836" s="128"/>
      <c r="I836" s="158"/>
      <c r="J836" s="158"/>
      <c r="W836" s="158"/>
    </row>
    <row r="837" spans="2:23" s="20" customFormat="1">
      <c r="B837" s="213"/>
      <c r="G837" s="128"/>
      <c r="H837" s="128"/>
      <c r="I837" s="158"/>
      <c r="J837" s="158"/>
      <c r="W837" s="158"/>
    </row>
    <row r="838" spans="2:23" s="20" customFormat="1">
      <c r="B838" s="213"/>
      <c r="G838" s="128"/>
      <c r="H838" s="128"/>
      <c r="I838" s="158"/>
      <c r="J838" s="158"/>
      <c r="W838" s="158"/>
    </row>
    <row r="839" spans="2:23" s="20" customFormat="1">
      <c r="B839" s="213"/>
      <c r="G839" s="128"/>
      <c r="H839" s="128"/>
      <c r="I839" s="158"/>
      <c r="J839" s="158"/>
      <c r="W839" s="158"/>
    </row>
    <row r="840" spans="2:23" s="20" customFormat="1">
      <c r="B840" s="213"/>
      <c r="G840" s="128"/>
      <c r="H840" s="128"/>
      <c r="I840" s="158"/>
      <c r="J840" s="158"/>
      <c r="W840" s="158"/>
    </row>
    <row r="841" spans="2:23" s="20" customFormat="1">
      <c r="B841" s="213"/>
      <c r="G841" s="128"/>
      <c r="H841" s="128"/>
      <c r="I841" s="158"/>
      <c r="J841" s="158"/>
      <c r="W841" s="158"/>
    </row>
    <row r="842" spans="2:23" s="20" customFormat="1">
      <c r="B842" s="213"/>
      <c r="G842" s="128"/>
      <c r="H842" s="128"/>
      <c r="I842" s="158"/>
      <c r="J842" s="158"/>
      <c r="W842" s="158"/>
    </row>
    <row r="843" spans="2:23" s="20" customFormat="1">
      <c r="B843" s="213"/>
      <c r="G843" s="128"/>
      <c r="H843" s="128"/>
      <c r="I843" s="158"/>
      <c r="J843" s="158"/>
      <c r="W843" s="158"/>
    </row>
    <row r="844" spans="2:23" s="20" customFormat="1">
      <c r="B844" s="213"/>
      <c r="G844" s="128"/>
      <c r="H844" s="128"/>
      <c r="I844" s="158"/>
      <c r="J844" s="158"/>
      <c r="W844" s="158"/>
    </row>
    <row r="845" spans="2:23" s="20" customFormat="1">
      <c r="B845" s="213"/>
      <c r="G845" s="128"/>
      <c r="H845" s="128"/>
      <c r="I845" s="158"/>
      <c r="J845" s="158"/>
      <c r="W845" s="158"/>
    </row>
    <row r="846" spans="2:23" s="20" customFormat="1">
      <c r="B846" s="213"/>
      <c r="G846" s="128"/>
      <c r="H846" s="128"/>
      <c r="I846" s="158"/>
      <c r="J846" s="158"/>
      <c r="W846" s="158"/>
    </row>
    <row r="847" spans="2:23" s="20" customFormat="1">
      <c r="B847" s="213"/>
      <c r="G847" s="128"/>
      <c r="H847" s="128"/>
      <c r="I847" s="158"/>
      <c r="J847" s="158"/>
      <c r="W847" s="158"/>
    </row>
    <row r="848" spans="2:23" s="20" customFormat="1">
      <c r="B848" s="213"/>
      <c r="G848" s="128"/>
      <c r="H848" s="128"/>
      <c r="I848" s="158"/>
      <c r="J848" s="158"/>
      <c r="W848" s="158"/>
    </row>
    <row r="849" spans="2:23" s="20" customFormat="1">
      <c r="B849" s="213"/>
      <c r="G849" s="128"/>
      <c r="H849" s="128"/>
      <c r="I849" s="158"/>
      <c r="J849" s="158"/>
      <c r="W849" s="158"/>
    </row>
    <row r="850" spans="2:23" s="20" customFormat="1">
      <c r="B850" s="213"/>
      <c r="G850" s="128"/>
      <c r="H850" s="128"/>
      <c r="I850" s="158"/>
      <c r="J850" s="158"/>
      <c r="W850" s="158"/>
    </row>
    <row r="851" spans="2:23" s="20" customFormat="1">
      <c r="B851" s="213"/>
      <c r="G851" s="128"/>
      <c r="H851" s="128"/>
      <c r="I851" s="158"/>
      <c r="J851" s="158"/>
      <c r="W851" s="158"/>
    </row>
    <row r="852" spans="2:23" s="20" customFormat="1">
      <c r="B852" s="213"/>
      <c r="G852" s="128"/>
      <c r="H852" s="128"/>
      <c r="I852" s="158"/>
      <c r="J852" s="158"/>
      <c r="W852" s="158"/>
    </row>
    <row r="853" spans="2:23" s="20" customFormat="1">
      <c r="B853" s="213"/>
      <c r="G853" s="128"/>
      <c r="H853" s="128"/>
      <c r="I853" s="158"/>
      <c r="J853" s="158"/>
      <c r="W853" s="158"/>
    </row>
    <row r="854" spans="2:23" s="20" customFormat="1">
      <c r="B854" s="213"/>
      <c r="G854" s="128"/>
      <c r="H854" s="128"/>
      <c r="I854" s="158"/>
      <c r="J854" s="158"/>
      <c r="W854" s="158"/>
    </row>
    <row r="855" spans="2:23" s="20" customFormat="1">
      <c r="B855" s="213"/>
      <c r="G855" s="128"/>
      <c r="H855" s="128"/>
      <c r="I855" s="158"/>
      <c r="J855" s="158"/>
      <c r="W855" s="158"/>
    </row>
    <row r="856" spans="2:23" s="20" customFormat="1">
      <c r="B856" s="213"/>
      <c r="G856" s="128"/>
      <c r="H856" s="128"/>
      <c r="I856" s="158"/>
      <c r="J856" s="158"/>
      <c r="W856" s="158"/>
    </row>
    <row r="857" spans="2:23" s="20" customFormat="1">
      <c r="B857" s="213"/>
      <c r="G857" s="128"/>
      <c r="H857" s="128"/>
      <c r="I857" s="158"/>
      <c r="J857" s="158"/>
      <c r="W857" s="158"/>
    </row>
    <row r="858" spans="2:23" s="20" customFormat="1">
      <c r="B858" s="213"/>
      <c r="G858" s="128"/>
      <c r="H858" s="128"/>
      <c r="I858" s="158"/>
      <c r="J858" s="158"/>
      <c r="W858" s="158"/>
    </row>
    <row r="859" spans="2:23" s="20" customFormat="1">
      <c r="B859" s="213"/>
      <c r="G859" s="128"/>
      <c r="H859" s="128"/>
      <c r="I859" s="158"/>
      <c r="J859" s="158"/>
      <c r="W859" s="158"/>
    </row>
    <row r="860" spans="2:23" s="20" customFormat="1">
      <c r="B860" s="213"/>
      <c r="G860" s="128"/>
      <c r="H860" s="128"/>
      <c r="I860" s="158"/>
      <c r="J860" s="158"/>
      <c r="W860" s="158"/>
    </row>
    <row r="861" spans="2:23" s="20" customFormat="1">
      <c r="B861" s="213"/>
      <c r="G861" s="128"/>
      <c r="H861" s="128"/>
      <c r="I861" s="158"/>
      <c r="J861" s="158"/>
      <c r="W861" s="158"/>
    </row>
    <row r="862" spans="2:23" s="20" customFormat="1">
      <c r="B862" s="213"/>
      <c r="G862" s="128"/>
      <c r="H862" s="128"/>
      <c r="I862" s="158"/>
      <c r="J862" s="158"/>
      <c r="W862" s="158"/>
    </row>
    <row r="863" spans="2:23" s="20" customFormat="1">
      <c r="B863" s="213"/>
      <c r="G863" s="128"/>
      <c r="H863" s="128"/>
      <c r="I863" s="158"/>
      <c r="J863" s="158"/>
      <c r="W863" s="158"/>
    </row>
    <row r="864" spans="2:23" s="20" customFormat="1">
      <c r="B864" s="213"/>
      <c r="G864" s="128"/>
      <c r="H864" s="128"/>
      <c r="I864" s="158"/>
      <c r="J864" s="158"/>
      <c r="W864" s="158"/>
    </row>
    <row r="865" spans="2:23" s="20" customFormat="1">
      <c r="B865" s="213"/>
      <c r="G865" s="128"/>
      <c r="H865" s="128"/>
      <c r="I865" s="158"/>
      <c r="J865" s="158"/>
      <c r="W865" s="158"/>
    </row>
    <row r="866" spans="2:23" s="20" customFormat="1">
      <c r="B866" s="213"/>
      <c r="G866" s="128"/>
      <c r="H866" s="128"/>
      <c r="I866" s="158"/>
      <c r="J866" s="158"/>
      <c r="W866" s="158"/>
    </row>
    <row r="867" spans="2:23" s="20" customFormat="1">
      <c r="B867" s="213"/>
      <c r="G867" s="128"/>
      <c r="H867" s="128"/>
      <c r="I867" s="158"/>
      <c r="J867" s="158"/>
      <c r="W867" s="158"/>
    </row>
    <row r="868" spans="2:23" s="20" customFormat="1">
      <c r="B868" s="213"/>
      <c r="G868" s="128"/>
      <c r="H868" s="128"/>
      <c r="I868" s="158"/>
      <c r="J868" s="158"/>
      <c r="W868" s="158"/>
    </row>
    <row r="869" spans="2:23" s="20" customFormat="1">
      <c r="B869" s="213"/>
      <c r="G869" s="128"/>
      <c r="H869" s="128"/>
      <c r="I869" s="158"/>
      <c r="J869" s="158"/>
      <c r="W869" s="158"/>
    </row>
    <row r="870" spans="2:23" s="20" customFormat="1">
      <c r="B870" s="213"/>
      <c r="G870" s="128"/>
      <c r="H870" s="128"/>
      <c r="I870" s="158"/>
      <c r="J870" s="158"/>
      <c r="W870" s="158"/>
    </row>
    <row r="871" spans="2:23" s="20" customFormat="1">
      <c r="B871" s="213"/>
      <c r="G871" s="128"/>
      <c r="H871" s="128"/>
      <c r="I871" s="158"/>
      <c r="J871" s="158"/>
      <c r="W871" s="158"/>
    </row>
    <row r="872" spans="2:23" s="20" customFormat="1">
      <c r="B872" s="213"/>
      <c r="G872" s="128"/>
      <c r="H872" s="128"/>
      <c r="I872" s="158"/>
      <c r="J872" s="158"/>
      <c r="W872" s="158"/>
    </row>
    <row r="873" spans="2:23" s="20" customFormat="1">
      <c r="B873" s="213"/>
      <c r="G873" s="128"/>
      <c r="H873" s="128"/>
      <c r="I873" s="158"/>
      <c r="J873" s="158"/>
      <c r="W873" s="158"/>
    </row>
    <row r="874" spans="2:23" s="20" customFormat="1">
      <c r="B874" s="213"/>
      <c r="G874" s="128"/>
      <c r="H874" s="128"/>
      <c r="I874" s="158"/>
      <c r="J874" s="158"/>
      <c r="W874" s="158"/>
    </row>
    <row r="875" spans="2:23" s="20" customFormat="1">
      <c r="B875" s="213"/>
      <c r="G875" s="128"/>
      <c r="H875" s="128"/>
      <c r="I875" s="158"/>
      <c r="J875" s="158"/>
      <c r="W875" s="158"/>
    </row>
    <row r="876" spans="2:23" s="20" customFormat="1">
      <c r="B876" s="213"/>
      <c r="G876" s="128"/>
      <c r="H876" s="128"/>
      <c r="I876" s="158"/>
      <c r="J876" s="158"/>
      <c r="W876" s="158"/>
    </row>
    <row r="877" spans="2:23" s="20" customFormat="1">
      <c r="B877" s="213"/>
      <c r="G877" s="128"/>
      <c r="H877" s="128"/>
      <c r="I877" s="158"/>
      <c r="J877" s="158"/>
      <c r="W877" s="158"/>
    </row>
    <row r="878" spans="2:23" s="20" customFormat="1">
      <c r="B878" s="213"/>
      <c r="G878" s="128"/>
      <c r="H878" s="128"/>
      <c r="I878" s="158"/>
      <c r="J878" s="158"/>
      <c r="W878" s="158"/>
    </row>
    <row r="879" spans="2:23" s="20" customFormat="1">
      <c r="B879" s="213"/>
      <c r="G879" s="128"/>
      <c r="H879" s="128"/>
      <c r="I879" s="158"/>
      <c r="J879" s="158"/>
      <c r="W879" s="158"/>
    </row>
    <row r="880" spans="2:23" s="20" customFormat="1">
      <c r="B880" s="213"/>
      <c r="G880" s="128"/>
      <c r="H880" s="128"/>
      <c r="I880" s="158"/>
      <c r="J880" s="158"/>
      <c r="W880" s="158"/>
    </row>
    <row r="881" spans="2:23" s="20" customFormat="1">
      <c r="B881" s="213"/>
      <c r="G881" s="128"/>
      <c r="H881" s="128"/>
      <c r="I881" s="158"/>
      <c r="J881" s="158"/>
      <c r="W881" s="158"/>
    </row>
    <row r="882" spans="2:23" s="20" customFormat="1">
      <c r="B882" s="213"/>
      <c r="G882" s="128"/>
      <c r="H882" s="128"/>
      <c r="I882" s="158"/>
      <c r="J882" s="158"/>
      <c r="W882" s="158"/>
    </row>
    <row r="883" spans="2:23" s="20" customFormat="1">
      <c r="B883" s="213"/>
      <c r="G883" s="128"/>
      <c r="H883" s="128"/>
      <c r="I883" s="158"/>
      <c r="J883" s="158"/>
      <c r="W883" s="158"/>
    </row>
    <row r="884" spans="2:23" s="20" customFormat="1">
      <c r="B884" s="213"/>
      <c r="G884" s="128"/>
      <c r="H884" s="128"/>
      <c r="I884" s="158"/>
      <c r="J884" s="158"/>
      <c r="W884" s="158"/>
    </row>
    <row r="885" spans="2:23" s="20" customFormat="1">
      <c r="B885" s="213"/>
      <c r="G885" s="128"/>
      <c r="H885" s="128"/>
      <c r="I885" s="158"/>
      <c r="J885" s="158"/>
      <c r="W885" s="158"/>
    </row>
    <row r="886" spans="2:23" s="20" customFormat="1">
      <c r="B886" s="213"/>
      <c r="G886" s="128"/>
      <c r="H886" s="128"/>
      <c r="I886" s="158"/>
      <c r="J886" s="158"/>
      <c r="W886" s="158"/>
    </row>
    <row r="887" spans="2:23" s="20" customFormat="1">
      <c r="B887" s="213"/>
      <c r="G887" s="128"/>
      <c r="H887" s="128"/>
      <c r="I887" s="158"/>
      <c r="J887" s="158"/>
      <c r="W887" s="158"/>
    </row>
    <row r="888" spans="2:23" s="20" customFormat="1">
      <c r="B888" s="213"/>
      <c r="G888" s="128"/>
      <c r="H888" s="128"/>
      <c r="I888" s="158"/>
      <c r="J888" s="158"/>
      <c r="W888" s="158"/>
    </row>
    <row r="889" spans="2:23" s="20" customFormat="1">
      <c r="B889" s="213"/>
      <c r="G889" s="128"/>
      <c r="H889" s="128"/>
      <c r="I889" s="158"/>
      <c r="J889" s="158"/>
      <c r="W889" s="158"/>
    </row>
    <row r="890" spans="2:23" s="20" customFormat="1">
      <c r="B890" s="213"/>
      <c r="G890" s="128"/>
      <c r="H890" s="128"/>
      <c r="I890" s="158"/>
      <c r="J890" s="158"/>
      <c r="W890" s="158"/>
    </row>
    <row r="891" spans="2:23" s="20" customFormat="1">
      <c r="B891" s="213"/>
      <c r="G891" s="128"/>
      <c r="H891" s="128"/>
      <c r="I891" s="158"/>
      <c r="J891" s="158"/>
      <c r="W891" s="158"/>
    </row>
    <row r="892" spans="2:23" s="20" customFormat="1">
      <c r="B892" s="213"/>
      <c r="G892" s="128"/>
      <c r="H892" s="128"/>
      <c r="I892" s="158"/>
      <c r="J892" s="158"/>
      <c r="W892" s="158"/>
    </row>
    <row r="893" spans="2:23" s="20" customFormat="1">
      <c r="B893" s="213"/>
      <c r="G893" s="128"/>
      <c r="H893" s="128"/>
      <c r="I893" s="158"/>
      <c r="J893" s="158"/>
      <c r="W893" s="158"/>
    </row>
    <row r="894" spans="2:23" s="20" customFormat="1">
      <c r="B894" s="213"/>
      <c r="G894" s="128"/>
      <c r="H894" s="128"/>
      <c r="I894" s="158"/>
      <c r="J894" s="158"/>
      <c r="W894" s="158"/>
    </row>
    <row r="895" spans="2:23" s="20" customFormat="1">
      <c r="B895" s="213"/>
      <c r="G895" s="128"/>
      <c r="H895" s="128"/>
      <c r="I895" s="158"/>
      <c r="J895" s="158"/>
      <c r="W895" s="158"/>
    </row>
    <row r="896" spans="2:23" s="20" customFormat="1">
      <c r="B896" s="213"/>
      <c r="G896" s="128"/>
      <c r="H896" s="128"/>
      <c r="I896" s="158"/>
      <c r="J896" s="158"/>
      <c r="W896" s="158"/>
    </row>
    <row r="897" spans="2:23" s="20" customFormat="1">
      <c r="B897" s="213"/>
      <c r="G897" s="128"/>
      <c r="H897" s="128"/>
      <c r="I897" s="158"/>
      <c r="J897" s="158"/>
      <c r="W897" s="158"/>
    </row>
    <row r="898" spans="2:23" s="20" customFormat="1">
      <c r="B898" s="213"/>
      <c r="G898" s="128"/>
      <c r="H898" s="128"/>
      <c r="I898" s="158"/>
      <c r="J898" s="158"/>
      <c r="W898" s="158"/>
    </row>
    <row r="899" spans="2:23" s="20" customFormat="1">
      <c r="B899" s="213"/>
      <c r="G899" s="128"/>
      <c r="H899" s="128"/>
      <c r="I899" s="158"/>
      <c r="J899" s="158"/>
      <c r="W899" s="158"/>
    </row>
    <row r="900" spans="2:23" s="20" customFormat="1">
      <c r="B900" s="213"/>
      <c r="G900" s="128"/>
      <c r="H900" s="128"/>
      <c r="I900" s="158"/>
      <c r="J900" s="158"/>
      <c r="W900" s="158"/>
    </row>
    <row r="901" spans="2:23" s="20" customFormat="1">
      <c r="B901" s="213"/>
      <c r="G901" s="128"/>
      <c r="H901" s="128"/>
      <c r="I901" s="158"/>
      <c r="J901" s="158"/>
      <c r="W901" s="158"/>
    </row>
    <row r="902" spans="2:23" s="20" customFormat="1">
      <c r="B902" s="213"/>
      <c r="G902" s="128"/>
      <c r="H902" s="128"/>
      <c r="I902" s="158"/>
      <c r="J902" s="158"/>
      <c r="W902" s="158"/>
    </row>
    <row r="903" spans="2:23" s="20" customFormat="1">
      <c r="B903" s="213"/>
      <c r="G903" s="128"/>
      <c r="H903" s="128"/>
      <c r="I903" s="158"/>
      <c r="J903" s="158"/>
      <c r="W903" s="158"/>
    </row>
    <row r="904" spans="2:23" s="20" customFormat="1">
      <c r="B904" s="213"/>
      <c r="G904" s="128"/>
      <c r="H904" s="128"/>
      <c r="I904" s="158"/>
      <c r="J904" s="158"/>
      <c r="W904" s="158"/>
    </row>
    <row r="905" spans="2:23" s="20" customFormat="1">
      <c r="B905" s="213"/>
      <c r="G905" s="128"/>
      <c r="H905" s="128"/>
      <c r="I905" s="158"/>
      <c r="J905" s="158"/>
      <c r="W905" s="158"/>
    </row>
    <row r="906" spans="2:23" s="20" customFormat="1">
      <c r="B906" s="213"/>
      <c r="G906" s="128"/>
      <c r="H906" s="128"/>
      <c r="I906" s="158"/>
      <c r="J906" s="158"/>
      <c r="W906" s="158"/>
    </row>
    <row r="907" spans="2:23" s="20" customFormat="1">
      <c r="B907" s="213"/>
      <c r="G907" s="128"/>
      <c r="H907" s="128"/>
      <c r="I907" s="158"/>
      <c r="J907" s="158"/>
      <c r="W907" s="158"/>
    </row>
    <row r="908" spans="2:23" s="20" customFormat="1">
      <c r="B908" s="213"/>
      <c r="G908" s="128"/>
      <c r="H908" s="128"/>
      <c r="I908" s="158"/>
      <c r="J908" s="158"/>
      <c r="W908" s="158"/>
    </row>
    <row r="909" spans="2:23" s="20" customFormat="1">
      <c r="B909" s="213"/>
      <c r="G909" s="128"/>
      <c r="H909" s="128"/>
      <c r="I909" s="158"/>
      <c r="J909" s="158"/>
      <c r="W909" s="158"/>
    </row>
    <row r="910" spans="2:23" s="20" customFormat="1">
      <c r="B910" s="213"/>
      <c r="G910" s="128"/>
      <c r="H910" s="128"/>
      <c r="I910" s="158"/>
      <c r="J910" s="158"/>
      <c r="W910" s="158"/>
    </row>
    <row r="911" spans="2:23" s="20" customFormat="1">
      <c r="B911" s="213"/>
      <c r="G911" s="128"/>
      <c r="H911" s="128"/>
      <c r="I911" s="158"/>
      <c r="J911" s="158"/>
      <c r="W911" s="158"/>
    </row>
    <row r="912" spans="2:23" s="20" customFormat="1">
      <c r="B912" s="213"/>
      <c r="G912" s="128"/>
      <c r="H912" s="128"/>
      <c r="I912" s="158"/>
      <c r="J912" s="158"/>
      <c r="W912" s="158"/>
    </row>
    <row r="913" spans="2:23" s="20" customFormat="1">
      <c r="B913" s="213"/>
      <c r="G913" s="128"/>
      <c r="H913" s="128"/>
      <c r="I913" s="158"/>
      <c r="J913" s="158"/>
      <c r="W913" s="158"/>
    </row>
    <row r="914" spans="2:23" s="20" customFormat="1">
      <c r="B914" s="213"/>
      <c r="G914" s="128"/>
      <c r="H914" s="128"/>
      <c r="I914" s="158"/>
      <c r="J914" s="158"/>
      <c r="W914" s="158"/>
    </row>
    <row r="915" spans="2:23" s="20" customFormat="1">
      <c r="B915" s="213"/>
      <c r="G915" s="128"/>
      <c r="H915" s="128"/>
      <c r="I915" s="158"/>
      <c r="J915" s="158"/>
      <c r="W915" s="158"/>
    </row>
    <row r="916" spans="2:23" s="20" customFormat="1">
      <c r="B916" s="213"/>
      <c r="G916" s="128"/>
      <c r="H916" s="128"/>
      <c r="I916" s="158"/>
      <c r="J916" s="158"/>
      <c r="W916" s="158"/>
    </row>
    <row r="917" spans="2:23" s="20" customFormat="1">
      <c r="B917" s="213"/>
      <c r="G917" s="128"/>
      <c r="H917" s="128"/>
      <c r="I917" s="158"/>
      <c r="J917" s="158"/>
      <c r="W917" s="158"/>
    </row>
    <row r="918" spans="2:23" s="20" customFormat="1">
      <c r="B918" s="213"/>
      <c r="G918" s="128"/>
      <c r="H918" s="128"/>
      <c r="I918" s="158"/>
      <c r="J918" s="158"/>
      <c r="W918" s="158"/>
    </row>
    <row r="919" spans="2:23" s="20" customFormat="1">
      <c r="B919" s="213"/>
      <c r="G919" s="128"/>
      <c r="H919" s="128"/>
      <c r="I919" s="158"/>
      <c r="J919" s="158"/>
      <c r="W919" s="158"/>
    </row>
    <row r="920" spans="2:23" s="20" customFormat="1">
      <c r="B920" s="213"/>
      <c r="G920" s="128"/>
      <c r="H920" s="128"/>
      <c r="I920" s="158"/>
      <c r="J920" s="158"/>
      <c r="W920" s="158"/>
    </row>
    <row r="921" spans="2:23" s="20" customFormat="1">
      <c r="B921" s="213"/>
      <c r="G921" s="128"/>
      <c r="H921" s="128"/>
      <c r="I921" s="158"/>
      <c r="J921" s="158"/>
      <c r="W921" s="158"/>
    </row>
    <row r="922" spans="2:23" s="20" customFormat="1">
      <c r="B922" s="213"/>
      <c r="G922" s="128"/>
      <c r="H922" s="128"/>
      <c r="I922" s="158"/>
      <c r="J922" s="158"/>
      <c r="W922" s="158"/>
    </row>
    <row r="923" spans="2:23" s="20" customFormat="1">
      <c r="B923" s="213"/>
      <c r="G923" s="128"/>
      <c r="H923" s="128"/>
      <c r="I923" s="158"/>
      <c r="J923" s="158"/>
      <c r="W923" s="158"/>
    </row>
    <row r="924" spans="2:23" s="20" customFormat="1">
      <c r="B924" s="213"/>
      <c r="G924" s="128"/>
      <c r="H924" s="128"/>
      <c r="I924" s="158"/>
      <c r="J924" s="158"/>
      <c r="W924" s="158"/>
    </row>
    <row r="925" spans="2:23" s="20" customFormat="1">
      <c r="B925" s="213"/>
      <c r="G925" s="128"/>
      <c r="H925" s="128"/>
      <c r="I925" s="158"/>
      <c r="J925" s="158"/>
      <c r="W925" s="158"/>
    </row>
    <row r="926" spans="2:23" s="20" customFormat="1">
      <c r="B926" s="213"/>
      <c r="G926" s="128"/>
      <c r="H926" s="128"/>
      <c r="I926" s="158"/>
      <c r="J926" s="158"/>
      <c r="W926" s="158"/>
    </row>
    <row r="927" spans="2:23" s="20" customFormat="1">
      <c r="B927" s="213"/>
      <c r="G927" s="128"/>
      <c r="H927" s="128"/>
      <c r="I927" s="158"/>
      <c r="J927" s="158"/>
      <c r="W927" s="158"/>
    </row>
    <row r="928" spans="2:23" s="20" customFormat="1">
      <c r="B928" s="213"/>
      <c r="G928" s="128"/>
      <c r="H928" s="128"/>
      <c r="I928" s="158"/>
      <c r="J928" s="158"/>
      <c r="W928" s="158"/>
    </row>
    <row r="929" spans="2:23" s="20" customFormat="1">
      <c r="B929" s="213"/>
      <c r="G929" s="128"/>
      <c r="H929" s="128"/>
      <c r="I929" s="158"/>
      <c r="J929" s="158"/>
      <c r="W929" s="158"/>
    </row>
    <row r="930" spans="2:23" s="20" customFormat="1">
      <c r="B930" s="213"/>
      <c r="G930" s="128"/>
      <c r="H930" s="128"/>
      <c r="I930" s="158"/>
      <c r="J930" s="158"/>
      <c r="W930" s="158"/>
    </row>
    <row r="931" spans="2:23" s="20" customFormat="1">
      <c r="B931" s="213"/>
      <c r="G931" s="128"/>
      <c r="H931" s="128"/>
      <c r="I931" s="158"/>
      <c r="J931" s="158"/>
      <c r="W931" s="158"/>
    </row>
    <row r="932" spans="2:23" s="20" customFormat="1">
      <c r="B932" s="213"/>
      <c r="G932" s="128"/>
      <c r="H932" s="128"/>
      <c r="I932" s="158"/>
      <c r="J932" s="158"/>
      <c r="W932" s="158"/>
    </row>
    <row r="933" spans="2:23" s="20" customFormat="1">
      <c r="B933" s="213"/>
      <c r="G933" s="128"/>
      <c r="H933" s="128"/>
      <c r="I933" s="158"/>
      <c r="J933" s="158"/>
      <c r="W933" s="158"/>
    </row>
    <row r="934" spans="2:23" s="20" customFormat="1">
      <c r="B934" s="213"/>
      <c r="G934" s="128"/>
      <c r="H934" s="128"/>
      <c r="I934" s="158"/>
      <c r="J934" s="158"/>
      <c r="W934" s="158"/>
    </row>
    <row r="935" spans="2:23" s="20" customFormat="1">
      <c r="B935" s="213"/>
      <c r="G935" s="128"/>
      <c r="H935" s="128"/>
      <c r="I935" s="158"/>
      <c r="J935" s="158"/>
      <c r="W935" s="158"/>
    </row>
    <row r="936" spans="2:23" s="20" customFormat="1">
      <c r="B936" s="213"/>
      <c r="G936" s="128"/>
      <c r="H936" s="128"/>
      <c r="I936" s="158"/>
      <c r="J936" s="158"/>
      <c r="W936" s="158"/>
    </row>
    <row r="937" spans="2:23" s="20" customFormat="1">
      <c r="B937" s="213"/>
      <c r="G937" s="128"/>
      <c r="H937" s="128"/>
      <c r="I937" s="158"/>
      <c r="J937" s="158"/>
      <c r="W937" s="158"/>
    </row>
    <row r="938" spans="2:23" s="20" customFormat="1">
      <c r="B938" s="213"/>
      <c r="G938" s="128"/>
      <c r="H938" s="128"/>
      <c r="I938" s="158"/>
      <c r="J938" s="158"/>
      <c r="W938" s="158"/>
    </row>
    <row r="939" spans="2:23" s="20" customFormat="1">
      <c r="B939" s="213"/>
      <c r="G939" s="128"/>
      <c r="H939" s="128"/>
      <c r="I939" s="158"/>
      <c r="J939" s="158"/>
      <c r="W939" s="158"/>
    </row>
    <row r="940" spans="2:23" s="20" customFormat="1">
      <c r="B940" s="213"/>
      <c r="G940" s="128"/>
      <c r="H940" s="128"/>
      <c r="I940" s="158"/>
      <c r="J940" s="158"/>
      <c r="W940" s="158"/>
    </row>
    <row r="941" spans="2:23" s="20" customFormat="1">
      <c r="B941" s="213"/>
      <c r="G941" s="128"/>
      <c r="H941" s="128"/>
      <c r="I941" s="158"/>
      <c r="J941" s="158"/>
      <c r="W941" s="158"/>
    </row>
    <row r="942" spans="2:23" s="20" customFormat="1">
      <c r="B942" s="213"/>
      <c r="G942" s="128"/>
      <c r="H942" s="128"/>
      <c r="I942" s="158"/>
      <c r="J942" s="158"/>
      <c r="W942" s="158"/>
    </row>
    <row r="943" spans="2:23" s="20" customFormat="1">
      <c r="B943" s="213"/>
      <c r="G943" s="128"/>
      <c r="H943" s="128"/>
      <c r="I943" s="158"/>
      <c r="J943" s="158"/>
      <c r="W943" s="158"/>
    </row>
    <row r="944" spans="2:23" s="20" customFormat="1">
      <c r="B944" s="213"/>
      <c r="G944" s="128"/>
      <c r="H944" s="128"/>
      <c r="I944" s="158"/>
      <c r="J944" s="158"/>
      <c r="W944" s="158"/>
    </row>
    <row r="945" spans="2:23" s="20" customFormat="1">
      <c r="B945" s="213"/>
      <c r="G945" s="128"/>
      <c r="H945" s="128"/>
      <c r="I945" s="158"/>
      <c r="J945" s="158"/>
      <c r="W945" s="158"/>
    </row>
    <row r="946" spans="2:23" s="20" customFormat="1">
      <c r="B946" s="213"/>
      <c r="G946" s="128"/>
      <c r="H946" s="128"/>
      <c r="I946" s="158"/>
      <c r="J946" s="158"/>
      <c r="W946" s="158"/>
    </row>
    <row r="947" spans="2:23" s="20" customFormat="1">
      <c r="B947" s="213"/>
      <c r="G947" s="128"/>
      <c r="H947" s="128"/>
      <c r="I947" s="158"/>
      <c r="J947" s="158"/>
      <c r="W947" s="158"/>
    </row>
    <row r="948" spans="2:23" s="20" customFormat="1">
      <c r="B948" s="213"/>
      <c r="G948" s="128"/>
      <c r="H948" s="128"/>
      <c r="I948" s="158"/>
      <c r="J948" s="158"/>
      <c r="W948" s="158"/>
    </row>
    <row r="949" spans="2:23" s="20" customFormat="1">
      <c r="B949" s="213"/>
      <c r="G949" s="128"/>
      <c r="H949" s="128"/>
      <c r="I949" s="158"/>
      <c r="J949" s="158"/>
      <c r="W949" s="158"/>
    </row>
    <row r="950" spans="2:23" s="20" customFormat="1">
      <c r="B950" s="213"/>
      <c r="G950" s="128"/>
      <c r="H950" s="128"/>
      <c r="I950" s="158"/>
      <c r="J950" s="158"/>
      <c r="W950" s="158"/>
    </row>
    <row r="951" spans="2:23" s="20" customFormat="1">
      <c r="B951" s="213"/>
      <c r="G951" s="128"/>
      <c r="H951" s="128"/>
      <c r="I951" s="158"/>
      <c r="J951" s="158"/>
      <c r="W951" s="158"/>
    </row>
    <row r="952" spans="2:23" s="20" customFormat="1">
      <c r="B952" s="213"/>
      <c r="G952" s="128"/>
      <c r="H952" s="128"/>
      <c r="I952" s="158"/>
      <c r="J952" s="158"/>
      <c r="W952" s="158"/>
    </row>
    <row r="953" spans="2:23" s="20" customFormat="1">
      <c r="B953" s="213"/>
      <c r="G953" s="128"/>
      <c r="H953" s="128"/>
      <c r="I953" s="158"/>
      <c r="J953" s="158"/>
      <c r="W953" s="158"/>
    </row>
    <row r="954" spans="2:23" s="20" customFormat="1">
      <c r="B954" s="213"/>
      <c r="G954" s="128"/>
      <c r="H954" s="128"/>
      <c r="I954" s="158"/>
      <c r="J954" s="158"/>
      <c r="W954" s="158"/>
    </row>
    <row r="955" spans="2:23" s="20" customFormat="1">
      <c r="B955" s="213"/>
      <c r="G955" s="128"/>
      <c r="H955" s="128"/>
      <c r="I955" s="158"/>
      <c r="J955" s="158"/>
      <c r="W955" s="158"/>
    </row>
    <row r="956" spans="2:23" s="20" customFormat="1">
      <c r="B956" s="213"/>
      <c r="G956" s="128"/>
      <c r="H956" s="128"/>
      <c r="I956" s="158"/>
      <c r="J956" s="158"/>
      <c r="W956" s="158"/>
    </row>
    <row r="957" spans="2:23" s="20" customFormat="1">
      <c r="B957" s="213"/>
      <c r="G957" s="128"/>
      <c r="H957" s="128"/>
      <c r="I957" s="158"/>
      <c r="J957" s="158"/>
      <c r="W957" s="158"/>
    </row>
    <row r="958" spans="2:23" s="20" customFormat="1">
      <c r="B958" s="213"/>
      <c r="G958" s="128"/>
      <c r="H958" s="128"/>
      <c r="I958" s="158"/>
      <c r="J958" s="158"/>
      <c r="W958" s="158"/>
    </row>
    <row r="959" spans="2:23" s="20" customFormat="1">
      <c r="B959" s="213"/>
      <c r="G959" s="128"/>
      <c r="H959" s="128"/>
      <c r="I959" s="158"/>
      <c r="J959" s="158"/>
      <c r="W959" s="158"/>
    </row>
    <row r="960" spans="2:23" s="20" customFormat="1">
      <c r="B960" s="213"/>
      <c r="G960" s="128"/>
      <c r="H960" s="128"/>
      <c r="I960" s="158"/>
      <c r="J960" s="158"/>
      <c r="W960" s="158"/>
    </row>
    <row r="961" spans="2:23" s="20" customFormat="1">
      <c r="B961" s="213"/>
      <c r="G961" s="128"/>
      <c r="H961" s="128"/>
      <c r="I961" s="158"/>
      <c r="J961" s="158"/>
      <c r="W961" s="158"/>
    </row>
    <row r="962" spans="2:23" s="20" customFormat="1">
      <c r="B962" s="213"/>
      <c r="G962" s="128"/>
      <c r="H962" s="128"/>
      <c r="I962" s="158"/>
      <c r="J962" s="158"/>
      <c r="W962" s="158"/>
    </row>
    <row r="963" spans="2:23" s="20" customFormat="1">
      <c r="B963" s="213"/>
      <c r="G963" s="128"/>
      <c r="H963" s="128"/>
      <c r="I963" s="158"/>
      <c r="J963" s="158"/>
      <c r="W963" s="158"/>
    </row>
    <row r="964" spans="2:23" s="20" customFormat="1">
      <c r="B964" s="213"/>
      <c r="G964" s="128"/>
      <c r="H964" s="128"/>
      <c r="I964" s="158"/>
      <c r="J964" s="158"/>
      <c r="W964" s="158"/>
    </row>
    <row r="965" spans="2:23" s="20" customFormat="1">
      <c r="B965" s="213"/>
      <c r="G965" s="128"/>
      <c r="H965" s="128"/>
      <c r="I965" s="158"/>
      <c r="J965" s="158"/>
      <c r="W965" s="158"/>
    </row>
    <row r="966" spans="2:23" s="20" customFormat="1">
      <c r="B966" s="213"/>
      <c r="G966" s="128"/>
      <c r="H966" s="128"/>
      <c r="I966" s="158"/>
      <c r="J966" s="158"/>
      <c r="W966" s="158"/>
    </row>
    <row r="967" spans="2:23" s="20" customFormat="1">
      <c r="B967" s="213"/>
      <c r="G967" s="128"/>
      <c r="H967" s="128"/>
      <c r="I967" s="158"/>
      <c r="J967" s="158"/>
      <c r="W967" s="158"/>
    </row>
    <row r="968" spans="2:23" s="20" customFormat="1">
      <c r="B968" s="213"/>
      <c r="G968" s="128"/>
      <c r="H968" s="128"/>
      <c r="I968" s="158"/>
      <c r="J968" s="158"/>
      <c r="W968" s="158"/>
    </row>
    <row r="969" spans="2:23" s="20" customFormat="1">
      <c r="B969" s="213"/>
      <c r="G969" s="128"/>
      <c r="H969" s="128"/>
      <c r="I969" s="158"/>
      <c r="J969" s="158"/>
      <c r="W969" s="158"/>
    </row>
    <row r="970" spans="2:23" s="20" customFormat="1">
      <c r="B970" s="213"/>
      <c r="G970" s="128"/>
      <c r="H970" s="128"/>
      <c r="I970" s="158"/>
      <c r="J970" s="158"/>
      <c r="W970" s="158"/>
    </row>
    <row r="971" spans="2:23" s="20" customFormat="1">
      <c r="B971" s="213"/>
      <c r="G971" s="128"/>
      <c r="H971" s="128"/>
      <c r="I971" s="158"/>
      <c r="J971" s="158"/>
      <c r="W971" s="158"/>
    </row>
    <row r="972" spans="2:23" s="20" customFormat="1">
      <c r="B972" s="213"/>
      <c r="G972" s="128"/>
      <c r="H972" s="128"/>
      <c r="I972" s="158"/>
      <c r="J972" s="158"/>
      <c r="W972" s="158"/>
    </row>
    <row r="973" spans="2:23" s="20" customFormat="1">
      <c r="B973" s="213"/>
      <c r="G973" s="128"/>
      <c r="H973" s="128"/>
      <c r="I973" s="158"/>
      <c r="J973" s="158"/>
      <c r="W973" s="158"/>
    </row>
    <row r="974" spans="2:23" s="20" customFormat="1">
      <c r="B974" s="213"/>
      <c r="G974" s="128"/>
      <c r="H974" s="128"/>
      <c r="I974" s="158"/>
      <c r="J974" s="158"/>
      <c r="W974" s="158"/>
    </row>
    <row r="975" spans="2:23" s="20" customFormat="1">
      <c r="B975" s="213"/>
      <c r="G975" s="128"/>
      <c r="H975" s="128"/>
      <c r="I975" s="158"/>
      <c r="J975" s="158"/>
      <c r="W975" s="158"/>
    </row>
    <row r="976" spans="2:23" s="20" customFormat="1">
      <c r="B976" s="213"/>
      <c r="G976" s="128"/>
      <c r="H976" s="128"/>
      <c r="I976" s="158"/>
      <c r="J976" s="158"/>
      <c r="W976" s="158"/>
    </row>
    <row r="977" spans="2:23" s="20" customFormat="1">
      <c r="B977" s="213"/>
      <c r="G977" s="128"/>
      <c r="H977" s="128"/>
      <c r="I977" s="158"/>
      <c r="J977" s="158"/>
      <c r="W977" s="158"/>
    </row>
    <row r="978" spans="2:23" s="20" customFormat="1">
      <c r="B978" s="213"/>
      <c r="G978" s="128"/>
      <c r="H978" s="128"/>
      <c r="I978" s="158"/>
      <c r="J978" s="158"/>
      <c r="W978" s="158"/>
    </row>
    <row r="979" spans="2:23" s="20" customFormat="1">
      <c r="B979" s="213"/>
      <c r="G979" s="128"/>
      <c r="H979" s="128"/>
      <c r="I979" s="158"/>
      <c r="J979" s="158"/>
      <c r="W979" s="158"/>
    </row>
    <row r="980" spans="2:23" s="20" customFormat="1">
      <c r="B980" s="213"/>
      <c r="G980" s="128"/>
      <c r="H980" s="128"/>
      <c r="I980" s="158"/>
      <c r="J980" s="158"/>
      <c r="W980" s="158"/>
    </row>
    <row r="981" spans="2:23" s="20" customFormat="1">
      <c r="B981" s="213"/>
      <c r="G981" s="128"/>
      <c r="H981" s="128"/>
      <c r="I981" s="158"/>
      <c r="J981" s="158"/>
      <c r="W981" s="158"/>
    </row>
    <row r="982" spans="2:23" s="20" customFormat="1">
      <c r="B982" s="213"/>
      <c r="G982" s="128"/>
      <c r="H982" s="128"/>
      <c r="I982" s="158"/>
      <c r="J982" s="158"/>
      <c r="W982" s="158"/>
    </row>
    <row r="983" spans="2:23" s="20" customFormat="1">
      <c r="B983" s="213"/>
      <c r="G983" s="128"/>
      <c r="H983" s="128"/>
      <c r="I983" s="158"/>
      <c r="J983" s="158"/>
      <c r="W983" s="158"/>
    </row>
    <row r="984" spans="2:23" s="20" customFormat="1">
      <c r="B984" s="213"/>
      <c r="G984" s="128"/>
      <c r="H984" s="128"/>
      <c r="I984" s="158"/>
      <c r="J984" s="158"/>
      <c r="W984" s="158"/>
    </row>
    <row r="985" spans="2:23" s="20" customFormat="1">
      <c r="B985" s="213"/>
      <c r="G985" s="128"/>
      <c r="H985" s="128"/>
      <c r="I985" s="158"/>
      <c r="J985" s="158"/>
      <c r="W985" s="158"/>
    </row>
    <row r="986" spans="2:23" s="20" customFormat="1">
      <c r="B986" s="213"/>
      <c r="G986" s="128"/>
      <c r="H986" s="128"/>
      <c r="I986" s="158"/>
      <c r="J986" s="158"/>
      <c r="W986" s="158"/>
    </row>
    <row r="987" spans="2:23" s="20" customFormat="1">
      <c r="B987" s="213"/>
      <c r="G987" s="128"/>
      <c r="H987" s="128"/>
      <c r="I987" s="158"/>
      <c r="J987" s="158"/>
      <c r="W987" s="158"/>
    </row>
    <row r="988" spans="2:23" s="20" customFormat="1">
      <c r="B988" s="213"/>
      <c r="G988" s="128"/>
      <c r="H988" s="128"/>
      <c r="I988" s="158"/>
      <c r="J988" s="158"/>
      <c r="W988" s="158"/>
    </row>
    <row r="989" spans="2:23" s="20" customFormat="1">
      <c r="B989" s="213"/>
      <c r="G989" s="128"/>
      <c r="H989" s="128"/>
      <c r="I989" s="158"/>
      <c r="J989" s="158"/>
      <c r="W989" s="158"/>
    </row>
    <row r="990" spans="2:23" s="20" customFormat="1">
      <c r="B990" s="213"/>
      <c r="G990" s="128"/>
      <c r="H990" s="128"/>
      <c r="I990" s="158"/>
      <c r="J990" s="158"/>
      <c r="W990" s="158"/>
    </row>
    <row r="991" spans="2:23" s="20" customFormat="1">
      <c r="B991" s="213"/>
      <c r="G991" s="128"/>
      <c r="H991" s="128"/>
      <c r="I991" s="158"/>
      <c r="J991" s="158"/>
      <c r="W991" s="158"/>
    </row>
    <row r="992" spans="2:23" s="20" customFormat="1">
      <c r="B992" s="213"/>
      <c r="G992" s="128"/>
      <c r="H992" s="128"/>
      <c r="I992" s="158"/>
      <c r="J992" s="158"/>
      <c r="W992" s="158"/>
    </row>
    <row r="993" spans="2:23" s="20" customFormat="1">
      <c r="B993" s="213"/>
      <c r="G993" s="128"/>
      <c r="H993" s="128"/>
      <c r="I993" s="158"/>
      <c r="J993" s="158"/>
      <c r="W993" s="158"/>
    </row>
    <row r="994" spans="2:23" s="20" customFormat="1">
      <c r="B994" s="213"/>
      <c r="G994" s="128"/>
      <c r="H994" s="128"/>
      <c r="I994" s="158"/>
      <c r="J994" s="158"/>
      <c r="W994" s="158"/>
    </row>
    <row r="995" spans="2:23" s="20" customFormat="1">
      <c r="B995" s="213"/>
      <c r="G995" s="128"/>
      <c r="H995" s="128"/>
      <c r="I995" s="158"/>
      <c r="J995" s="158"/>
      <c r="W995" s="158"/>
    </row>
    <row r="996" spans="2:23" s="20" customFormat="1">
      <c r="B996" s="213"/>
      <c r="G996" s="128"/>
      <c r="H996" s="128"/>
      <c r="I996" s="158"/>
      <c r="J996" s="158"/>
      <c r="W996" s="158"/>
    </row>
    <row r="997" spans="2:23" s="20" customFormat="1">
      <c r="B997" s="213"/>
      <c r="G997" s="128"/>
      <c r="H997" s="128"/>
      <c r="I997" s="158"/>
      <c r="J997" s="158"/>
      <c r="W997" s="158"/>
    </row>
    <row r="998" spans="2:23" s="20" customFormat="1">
      <c r="B998" s="213"/>
      <c r="G998" s="128"/>
      <c r="H998" s="128"/>
      <c r="I998" s="158"/>
      <c r="J998" s="158"/>
      <c r="W998" s="158"/>
    </row>
    <row r="999" spans="2:23" s="20" customFormat="1">
      <c r="B999" s="213"/>
      <c r="G999" s="128"/>
      <c r="H999" s="128"/>
      <c r="I999" s="158"/>
      <c r="J999" s="158"/>
      <c r="W999" s="158"/>
    </row>
    <row r="1000" spans="2:23" s="20" customFormat="1">
      <c r="B1000" s="213"/>
      <c r="G1000" s="128"/>
      <c r="H1000" s="128"/>
      <c r="I1000" s="158"/>
      <c r="J1000" s="158"/>
      <c r="W1000" s="158"/>
    </row>
    <row r="1001" spans="2:23" s="20" customFormat="1">
      <c r="B1001" s="213"/>
      <c r="G1001" s="128"/>
      <c r="H1001" s="128"/>
      <c r="I1001" s="158"/>
      <c r="J1001" s="158"/>
      <c r="W1001" s="158"/>
    </row>
    <row r="1002" spans="2:23" s="20" customFormat="1">
      <c r="B1002" s="213"/>
      <c r="G1002" s="128"/>
      <c r="H1002" s="128"/>
      <c r="I1002" s="158"/>
      <c r="J1002" s="158"/>
      <c r="W1002" s="158"/>
    </row>
    <row r="1003" spans="2:23" s="20" customFormat="1">
      <c r="B1003" s="213"/>
      <c r="G1003" s="128"/>
      <c r="H1003" s="128"/>
      <c r="I1003" s="158"/>
      <c r="J1003" s="158"/>
      <c r="W1003" s="158"/>
    </row>
    <row r="1004" spans="2:23" s="20" customFormat="1">
      <c r="B1004" s="213"/>
      <c r="G1004" s="128"/>
      <c r="H1004" s="128"/>
      <c r="I1004" s="158"/>
      <c r="J1004" s="158"/>
      <c r="W1004" s="158"/>
    </row>
    <row r="1005" spans="2:23" s="20" customFormat="1">
      <c r="B1005" s="213"/>
      <c r="G1005" s="128"/>
      <c r="H1005" s="128"/>
      <c r="I1005" s="158"/>
      <c r="J1005" s="158"/>
      <c r="W1005" s="158"/>
    </row>
    <row r="1006" spans="2:23" s="20" customFormat="1">
      <c r="B1006" s="213"/>
      <c r="G1006" s="128"/>
      <c r="H1006" s="128"/>
      <c r="I1006" s="158"/>
      <c r="J1006" s="158"/>
      <c r="W1006" s="158"/>
    </row>
    <row r="1007" spans="2:23" s="20" customFormat="1">
      <c r="B1007" s="213"/>
      <c r="G1007" s="128"/>
      <c r="H1007" s="128"/>
      <c r="I1007" s="158"/>
      <c r="J1007" s="158"/>
      <c r="W1007" s="158"/>
    </row>
    <row r="1008" spans="2:23" s="20" customFormat="1">
      <c r="B1008" s="213"/>
      <c r="G1008" s="128"/>
      <c r="H1008" s="128"/>
      <c r="I1008" s="158"/>
      <c r="J1008" s="158"/>
      <c r="W1008" s="158"/>
    </row>
    <row r="1009" spans="2:23" s="20" customFormat="1">
      <c r="B1009" s="213"/>
      <c r="G1009" s="128"/>
      <c r="H1009" s="128"/>
      <c r="I1009" s="158"/>
      <c r="J1009" s="158"/>
      <c r="W1009" s="158"/>
    </row>
    <row r="1010" spans="2:23" s="20" customFormat="1">
      <c r="B1010" s="213"/>
      <c r="G1010" s="128"/>
      <c r="H1010" s="128"/>
      <c r="I1010" s="158"/>
      <c r="J1010" s="158"/>
      <c r="W1010" s="158"/>
    </row>
    <row r="1011" spans="2:23" s="20" customFormat="1">
      <c r="B1011" s="213"/>
      <c r="G1011" s="128"/>
      <c r="H1011" s="128"/>
      <c r="I1011" s="158"/>
      <c r="J1011" s="158"/>
      <c r="W1011" s="158"/>
    </row>
  </sheetData>
  <mergeCells count="1">
    <mergeCell ref="G32:J32"/>
  </mergeCells>
  <pageMargins left="0.7" right="0.7" top="0.75" bottom="0.75" header="0.3" footer="0.3"/>
  <pageSetup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rgb="FF0070C0"/>
  </sheetPr>
  <dimension ref="A1:AJ142"/>
  <sheetViews>
    <sheetView zoomScale="85" zoomScaleNormal="85" workbookViewId="0">
      <selection activeCell="L28" sqref="L28"/>
    </sheetView>
  </sheetViews>
  <sheetFormatPr defaultRowHeight="15"/>
  <cols>
    <col min="1" max="1" width="3.28515625" customWidth="1"/>
    <col min="2" max="2" width="47" customWidth="1"/>
    <col min="3" max="3" width="0" hidden="1" customWidth="1"/>
    <col min="4" max="9" width="13.28515625" customWidth="1"/>
  </cols>
  <sheetData>
    <row r="1" spans="1:35">
      <c r="A1" s="215"/>
      <c r="B1" s="20"/>
      <c r="C1" s="20"/>
      <c r="D1" s="20"/>
      <c r="E1" s="20"/>
      <c r="F1" s="20"/>
      <c r="G1" s="216"/>
      <c r="H1" s="128"/>
      <c r="I1" s="158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</row>
    <row r="2" spans="1:35" ht="19.5">
      <c r="A2" s="215"/>
      <c r="B2" s="1" t="s">
        <v>1670</v>
      </c>
      <c r="C2" s="1"/>
      <c r="D2" s="1"/>
      <c r="E2" s="1"/>
      <c r="F2" s="1"/>
      <c r="G2" s="217"/>
      <c r="H2" s="130"/>
      <c r="I2" s="178"/>
      <c r="J2" s="2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</row>
    <row r="3" spans="1:35">
      <c r="A3" s="215"/>
      <c r="B3" s="3" t="s">
        <v>158</v>
      </c>
      <c r="C3" s="3"/>
      <c r="D3" s="3"/>
      <c r="E3" s="3"/>
      <c r="F3" s="3"/>
      <c r="G3" s="217"/>
      <c r="H3" s="130"/>
      <c r="I3" s="178"/>
      <c r="J3" s="2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</row>
    <row r="4" spans="1:35">
      <c r="A4" s="215"/>
      <c r="B4" s="20"/>
      <c r="C4" s="20"/>
      <c r="D4" s="20"/>
      <c r="E4" s="20"/>
      <c r="F4" s="20"/>
      <c r="G4" s="216"/>
      <c r="H4" s="128"/>
      <c r="I4" s="158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</row>
    <row r="5" spans="1:35" ht="15.75">
      <c r="A5" s="215"/>
      <c r="B5" s="145" t="s">
        <v>206</v>
      </c>
      <c r="C5" s="146"/>
      <c r="D5" s="146"/>
      <c r="E5" s="146"/>
      <c r="F5" s="146"/>
      <c r="G5" s="146"/>
      <c r="H5" s="146"/>
      <c r="I5" s="218"/>
      <c r="J5" s="179"/>
      <c r="K5" s="179"/>
      <c r="L5" s="179"/>
      <c r="M5" s="179"/>
      <c r="N5" s="179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</row>
    <row r="6" spans="1:35">
      <c r="A6" s="215"/>
      <c r="B6" s="147" t="s">
        <v>273</v>
      </c>
      <c r="C6" s="148"/>
      <c r="D6" s="148"/>
      <c r="E6" s="106" t="s">
        <v>29</v>
      </c>
      <c r="F6" s="106" t="s">
        <v>30</v>
      </c>
      <c r="G6" s="106" t="s">
        <v>31</v>
      </c>
      <c r="H6" s="106" t="s">
        <v>32</v>
      </c>
      <c r="I6" s="68" t="s">
        <v>33</v>
      </c>
      <c r="J6" s="22"/>
      <c r="K6" s="22"/>
      <c r="L6" s="22"/>
      <c r="M6" s="22"/>
      <c r="N6" s="22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</row>
    <row r="7" spans="1:35">
      <c r="A7" s="215"/>
      <c r="B7" s="147"/>
      <c r="C7" s="148"/>
      <c r="D7" s="148"/>
      <c r="E7" s="106">
        <v>41821</v>
      </c>
      <c r="F7" s="106">
        <v>42186</v>
      </c>
      <c r="G7" s="106">
        <v>42552</v>
      </c>
      <c r="H7" s="106">
        <v>42917</v>
      </c>
      <c r="I7" s="68">
        <v>43282</v>
      </c>
      <c r="J7" s="22"/>
      <c r="K7" s="22"/>
      <c r="L7" s="22"/>
      <c r="M7" s="22"/>
      <c r="N7" s="22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</row>
    <row r="8" spans="1:35">
      <c r="A8" s="215"/>
      <c r="B8" s="161" t="s">
        <v>275</v>
      </c>
      <c r="C8" s="151"/>
      <c r="D8" s="151"/>
      <c r="E8" s="171">
        <f>'App 11_Yr1 Op Exp'!D8</f>
        <v>73402.006041337416</v>
      </c>
      <c r="F8" s="162">
        <f>E68</f>
        <v>111316.51785179479</v>
      </c>
      <c r="G8" s="162">
        <f t="shared" ref="G8:I8" si="0">F68</f>
        <v>144038.45224243784</v>
      </c>
      <c r="H8" s="162">
        <f t="shared" si="0"/>
        <v>167379.17265832087</v>
      </c>
      <c r="I8" s="176">
        <f t="shared" si="0"/>
        <v>196273.58753397531</v>
      </c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</row>
    <row r="9" spans="1:35">
      <c r="A9" s="215"/>
      <c r="B9" s="161" t="s">
        <v>276</v>
      </c>
      <c r="C9" s="151"/>
      <c r="D9" s="151"/>
      <c r="E9" s="171">
        <f>'App 11_Yr1 Op Exp'!D9</f>
        <v>327414.01208267483</v>
      </c>
      <c r="F9" s="162">
        <f>E75</f>
        <v>374961.03570358956</v>
      </c>
      <c r="G9" s="162">
        <f t="shared" ref="G9:I9" si="1">F75</f>
        <v>705043.54448487575</v>
      </c>
      <c r="H9" s="162">
        <f t="shared" si="1"/>
        <v>757203.18451664178</v>
      </c>
      <c r="I9" s="176">
        <f t="shared" si="1"/>
        <v>821683.16970595089</v>
      </c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</row>
    <row r="10" spans="1:35">
      <c r="A10" s="215"/>
      <c r="B10" s="161" t="s">
        <v>277</v>
      </c>
      <c r="C10" s="151"/>
      <c r="D10" s="151"/>
      <c r="E10" s="171">
        <f>'App 11_Yr1 Op Exp'!D10</f>
        <v>97500</v>
      </c>
      <c r="F10" s="162">
        <f>E80</f>
        <v>179730.07140717917</v>
      </c>
      <c r="G10" s="162">
        <f t="shared" ref="G10:I10" si="2">F80</f>
        <v>254138.32096975134</v>
      </c>
      <c r="H10" s="162">
        <f t="shared" si="2"/>
        <v>333683.6154332835</v>
      </c>
      <c r="I10" s="176">
        <f t="shared" si="2"/>
        <v>438126.5870639013</v>
      </c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</row>
    <row r="11" spans="1:35">
      <c r="A11" s="215"/>
      <c r="B11" s="161" t="s">
        <v>278</v>
      </c>
      <c r="C11" s="151"/>
      <c r="D11" s="151"/>
      <c r="E11" s="171">
        <f>'App 11_Yr1 Op Exp'!D11</f>
        <v>6850</v>
      </c>
      <c r="F11" s="162">
        <f>E87</f>
        <v>7923.5999999999985</v>
      </c>
      <c r="G11" s="162">
        <f t="shared" ref="G11:I11" si="3">F87</f>
        <v>13633.404000000002</v>
      </c>
      <c r="H11" s="162">
        <f t="shared" si="3"/>
        <v>14492.607960000001</v>
      </c>
      <c r="I11" s="176">
        <f t="shared" si="3"/>
        <v>15381.228606000001</v>
      </c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</row>
    <row r="12" spans="1:35">
      <c r="A12" s="215"/>
      <c r="B12" s="161" t="s">
        <v>279</v>
      </c>
      <c r="C12" s="151"/>
      <c r="D12" s="151"/>
      <c r="E12" s="171">
        <f ca="1">'App 11_Yr1 Op Exp'!D12</f>
        <v>362185.09999999992</v>
      </c>
      <c r="F12" s="162">
        <f ca="1">E96</f>
        <v>362185.09999999992</v>
      </c>
      <c r="G12" s="162">
        <f t="shared" ref="G12:I12" ca="1" si="4">F96</f>
        <v>342056.73328110483</v>
      </c>
      <c r="H12" s="162">
        <f t="shared" ca="1" si="4"/>
        <v>373202.92761604453</v>
      </c>
      <c r="I12" s="176">
        <f t="shared" ca="1" si="4"/>
        <v>299006.02441126556</v>
      </c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</row>
    <row r="13" spans="1:35">
      <c r="A13" s="215"/>
      <c r="B13" s="161" t="s">
        <v>1679</v>
      </c>
      <c r="C13" s="151"/>
      <c r="D13" s="151"/>
      <c r="E13" s="171">
        <f>'App 11_Yr1 Op Exp'!D13</f>
        <v>117468.02416534966</v>
      </c>
      <c r="F13" s="162">
        <f ca="1">E107</f>
        <v>990780.94039187336</v>
      </c>
      <c r="G13" s="162">
        <f t="shared" ref="G13:I13" ca="1" si="5">F107</f>
        <v>1240625.9828366521</v>
      </c>
      <c r="H13" s="162">
        <f t="shared" ca="1" si="5"/>
        <v>1523655.0522105191</v>
      </c>
      <c r="I13" s="176">
        <f t="shared" ca="1" si="5"/>
        <v>1837646.1470919389</v>
      </c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</row>
    <row r="14" spans="1:35">
      <c r="A14" s="215"/>
      <c r="B14" s="164" t="s">
        <v>239</v>
      </c>
      <c r="C14" s="165"/>
      <c r="D14" s="165"/>
      <c r="E14" s="220">
        <f ca="1">SUM(E8:E13)</f>
        <v>984819.1422893618</v>
      </c>
      <c r="F14" s="220">
        <f ca="1">SUM(F8:F13)</f>
        <v>2026897.2653544368</v>
      </c>
      <c r="G14" s="220">
        <f t="shared" ref="G14:I14" ca="1" si="6">SUM(G8:G13)</f>
        <v>2699536.437814822</v>
      </c>
      <c r="H14" s="220">
        <f t="shared" ca="1" si="6"/>
        <v>3169616.5603948096</v>
      </c>
      <c r="I14" s="273">
        <f t="shared" ca="1" si="6"/>
        <v>3608116.7444130322</v>
      </c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</row>
    <row r="15" spans="1:35">
      <c r="A15" s="215"/>
      <c r="B15" s="286" t="s">
        <v>371</v>
      </c>
      <c r="C15" s="286"/>
      <c r="D15" s="286"/>
      <c r="E15" s="287"/>
      <c r="F15" s="288">
        <f ca="1">F14/E14-1</f>
        <v>1.0581416204427203</v>
      </c>
      <c r="G15" s="288">
        <f t="shared" ref="G15:I15" ca="1" si="7">G14/F14-1</f>
        <v>0.33185656913043537</v>
      </c>
      <c r="H15" s="288">
        <f t="shared" ca="1" si="7"/>
        <v>0.17413364605683945</v>
      </c>
      <c r="I15" s="288">
        <f t="shared" ca="1" si="7"/>
        <v>0.13834486779801614</v>
      </c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</row>
    <row r="16" spans="1:35" ht="16.5">
      <c r="A16" s="215"/>
      <c r="B16" s="129"/>
      <c r="C16" s="129"/>
      <c r="D16" s="129"/>
      <c r="E16" s="129"/>
      <c r="F16" s="129"/>
      <c r="G16" s="221"/>
      <c r="H16" s="180"/>
      <c r="I16" s="158"/>
      <c r="J16" s="20"/>
      <c r="K16" s="20"/>
      <c r="L16" s="20"/>
      <c r="M16" s="244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</row>
    <row r="17" spans="1:35" ht="17.25">
      <c r="A17" s="215"/>
      <c r="B17" s="145" t="s">
        <v>331</v>
      </c>
      <c r="C17" s="146"/>
      <c r="D17" s="146"/>
      <c r="E17" s="146"/>
      <c r="F17" s="146"/>
      <c r="G17" s="925"/>
      <c r="H17" s="925"/>
      <c r="I17" s="926"/>
      <c r="J17" s="20"/>
      <c r="K17" s="20"/>
      <c r="L17" s="20"/>
      <c r="M17" s="244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</row>
    <row r="18" spans="1:35" ht="16.5">
      <c r="A18" s="215"/>
      <c r="B18" s="147"/>
      <c r="C18" s="148"/>
      <c r="D18" s="148" t="s">
        <v>349</v>
      </c>
      <c r="E18" s="67" t="s">
        <v>29</v>
      </c>
      <c r="F18" s="67" t="s">
        <v>30</v>
      </c>
      <c r="G18" s="67" t="s">
        <v>31</v>
      </c>
      <c r="H18" s="67" t="s">
        <v>32</v>
      </c>
      <c r="I18" s="68" t="s">
        <v>33</v>
      </c>
      <c r="J18" s="20"/>
      <c r="K18" s="20"/>
      <c r="L18" s="20"/>
      <c r="M18" s="244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</row>
    <row r="19" spans="1:35" ht="16.5">
      <c r="A19" s="215"/>
      <c r="B19" s="147"/>
      <c r="C19" s="149"/>
      <c r="D19" s="149" t="s">
        <v>114</v>
      </c>
      <c r="E19" s="67">
        <v>41821</v>
      </c>
      <c r="F19" s="67">
        <v>42186</v>
      </c>
      <c r="G19" s="67">
        <v>42552</v>
      </c>
      <c r="H19" s="67">
        <v>42917</v>
      </c>
      <c r="I19" s="68">
        <v>43282</v>
      </c>
      <c r="J19" s="20"/>
      <c r="K19" s="20"/>
      <c r="L19" s="20"/>
      <c r="M19" s="244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</row>
    <row r="20" spans="1:35" ht="18.75" customHeight="1">
      <c r="A20" s="215"/>
      <c r="B20" s="161" t="s">
        <v>280</v>
      </c>
      <c r="C20" s="151"/>
      <c r="D20" s="223"/>
      <c r="E20" s="795">
        <v>1500</v>
      </c>
      <c r="F20" s="795">
        <f>E20</f>
        <v>1500</v>
      </c>
      <c r="G20" s="796">
        <v>3000</v>
      </c>
      <c r="H20" s="797">
        <v>3000</v>
      </c>
      <c r="I20" s="798">
        <v>3000</v>
      </c>
      <c r="J20" s="20"/>
      <c r="K20" s="20"/>
      <c r="L20" s="20"/>
      <c r="M20" s="244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</row>
    <row r="21" spans="1:35" ht="16.5">
      <c r="A21" s="215"/>
      <c r="B21" s="161" t="s">
        <v>283</v>
      </c>
      <c r="C21" s="151"/>
      <c r="D21" s="269">
        <v>0.02</v>
      </c>
      <c r="E21" s="281">
        <v>15</v>
      </c>
      <c r="F21" s="212">
        <f>E21*(1+$D$21)</f>
        <v>15.3</v>
      </c>
      <c r="G21" s="270">
        <f t="shared" ref="G21:I21" si="8">F21*(1+$D$21)</f>
        <v>15.606000000000002</v>
      </c>
      <c r="H21" s="270">
        <f t="shared" si="8"/>
        <v>15.918120000000002</v>
      </c>
      <c r="I21" s="272">
        <f t="shared" si="8"/>
        <v>16.236482400000003</v>
      </c>
      <c r="J21" s="20"/>
      <c r="K21" s="20"/>
      <c r="L21" s="20"/>
      <c r="M21" s="244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</row>
    <row r="22" spans="1:35" ht="16.5">
      <c r="A22" s="215"/>
      <c r="B22" s="161" t="s">
        <v>286</v>
      </c>
      <c r="C22" s="151"/>
      <c r="D22" s="269">
        <v>0.01</v>
      </c>
      <c r="E22" s="281">
        <v>10</v>
      </c>
      <c r="F22" s="212">
        <f t="shared" ref="F22:I24" si="9">E22*(1+$D22)</f>
        <v>10.1</v>
      </c>
      <c r="G22" s="270">
        <f t="shared" si="9"/>
        <v>10.201000000000001</v>
      </c>
      <c r="H22" s="270">
        <f t="shared" si="9"/>
        <v>10.30301</v>
      </c>
      <c r="I22" s="272">
        <f t="shared" si="9"/>
        <v>10.4060401</v>
      </c>
      <c r="J22" s="20"/>
      <c r="K22" s="20"/>
      <c r="L22" s="20"/>
      <c r="M22" s="244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</row>
    <row r="23" spans="1:35" ht="16.5">
      <c r="A23" s="215"/>
      <c r="B23" s="161" t="s">
        <v>299</v>
      </c>
      <c r="C23" s="151"/>
      <c r="D23" s="269">
        <v>0.02</v>
      </c>
      <c r="E23" s="281">
        <v>10</v>
      </c>
      <c r="F23" s="212">
        <f t="shared" si="9"/>
        <v>10.199999999999999</v>
      </c>
      <c r="G23" s="274">
        <f t="shared" si="9"/>
        <v>10.404</v>
      </c>
      <c r="H23" s="270">
        <f t="shared" si="9"/>
        <v>10.612080000000001</v>
      </c>
      <c r="I23" s="275">
        <f t="shared" si="9"/>
        <v>10.824321600000001</v>
      </c>
      <c r="J23" s="20"/>
      <c r="K23" s="20"/>
      <c r="L23" s="20"/>
      <c r="M23" s="244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</row>
    <row r="24" spans="1:35" ht="16.5">
      <c r="A24" s="215"/>
      <c r="B24" s="161" t="s">
        <v>301</v>
      </c>
      <c r="C24" s="151"/>
      <c r="D24" s="269">
        <v>0.02</v>
      </c>
      <c r="E24" s="281">
        <v>10</v>
      </c>
      <c r="F24" s="212">
        <f t="shared" si="9"/>
        <v>10.199999999999999</v>
      </c>
      <c r="G24" s="274">
        <f t="shared" si="9"/>
        <v>10.404</v>
      </c>
      <c r="H24" s="270">
        <f t="shared" si="9"/>
        <v>10.612080000000001</v>
      </c>
      <c r="I24" s="275">
        <f t="shared" si="9"/>
        <v>10.824321600000001</v>
      </c>
      <c r="J24" s="20"/>
      <c r="K24" s="20"/>
      <c r="L24" s="20"/>
      <c r="M24" s="244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</row>
    <row r="25" spans="1:35" ht="16.5">
      <c r="A25" s="215"/>
      <c r="B25" s="161" t="s">
        <v>333</v>
      </c>
      <c r="C25" s="151"/>
      <c r="D25" s="269">
        <v>0.02</v>
      </c>
      <c r="E25" s="281">
        <v>10</v>
      </c>
      <c r="F25" s="212">
        <f>E25*(1+$D25)</f>
        <v>10.199999999999999</v>
      </c>
      <c r="G25" s="270">
        <f t="shared" ref="G25:I25" si="10">F25*(1+$D25)</f>
        <v>10.404</v>
      </c>
      <c r="H25" s="270">
        <f t="shared" si="10"/>
        <v>10.612080000000001</v>
      </c>
      <c r="I25" s="272">
        <f t="shared" si="10"/>
        <v>10.824321600000001</v>
      </c>
      <c r="J25" s="20"/>
      <c r="K25" s="20"/>
      <c r="L25" s="20"/>
      <c r="M25" s="244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</row>
    <row r="26" spans="1:35" ht="16.5">
      <c r="A26" s="215"/>
      <c r="B26" s="161" t="s">
        <v>334</v>
      </c>
      <c r="C26" s="151"/>
      <c r="D26" s="269">
        <v>0.02</v>
      </c>
      <c r="E26" s="281">
        <v>10</v>
      </c>
      <c r="F26" s="212">
        <f t="shared" ref="F26:I27" si="11">E26*(1+$D26)</f>
        <v>10.199999999999999</v>
      </c>
      <c r="G26" s="270">
        <f t="shared" si="11"/>
        <v>10.404</v>
      </c>
      <c r="H26" s="270">
        <f t="shared" si="11"/>
        <v>10.612080000000001</v>
      </c>
      <c r="I26" s="272">
        <f t="shared" si="11"/>
        <v>10.824321600000001</v>
      </c>
      <c r="J26" s="20"/>
      <c r="K26" s="20"/>
      <c r="L26" s="20"/>
      <c r="M26" s="244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</row>
    <row r="27" spans="1:35" ht="16.5">
      <c r="A27" s="215"/>
      <c r="B27" s="161" t="s">
        <v>347</v>
      </c>
      <c r="C27" s="151"/>
      <c r="D27" s="269">
        <v>0.01</v>
      </c>
      <c r="E27" s="281">
        <v>10</v>
      </c>
      <c r="F27" s="212">
        <f t="shared" si="11"/>
        <v>10.1</v>
      </c>
      <c r="G27" s="270">
        <f t="shared" si="11"/>
        <v>10.201000000000001</v>
      </c>
      <c r="H27" s="270">
        <f t="shared" si="11"/>
        <v>10.30301</v>
      </c>
      <c r="I27" s="272">
        <f t="shared" si="11"/>
        <v>10.4060401</v>
      </c>
      <c r="J27" s="20"/>
      <c r="K27" s="20"/>
      <c r="L27" s="20"/>
      <c r="M27" s="244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</row>
    <row r="28" spans="1:35" ht="16.5">
      <c r="A28" s="215"/>
      <c r="B28" s="161" t="s">
        <v>290</v>
      </c>
      <c r="C28" s="151"/>
      <c r="D28" s="269"/>
      <c r="E28" s="269">
        <v>0.02</v>
      </c>
      <c r="F28" s="223">
        <f>E28</f>
        <v>0.02</v>
      </c>
      <c r="G28" s="223">
        <f t="shared" ref="G28:I28" si="12">F28</f>
        <v>0.02</v>
      </c>
      <c r="H28" s="223">
        <f t="shared" si="12"/>
        <v>0.02</v>
      </c>
      <c r="I28" s="278">
        <f t="shared" si="12"/>
        <v>0.02</v>
      </c>
      <c r="J28" s="20"/>
      <c r="K28" s="20"/>
      <c r="L28" s="20"/>
      <c r="M28" s="244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</row>
    <row r="29" spans="1:35" ht="16.5">
      <c r="A29" s="215"/>
      <c r="B29" s="161" t="s">
        <v>367</v>
      </c>
      <c r="C29" s="151"/>
      <c r="D29" s="269"/>
      <c r="E29" s="269">
        <f ca="1">D96/'App 5_5-Yr Capex'!D16</f>
        <v>6.4293066279561314E-2</v>
      </c>
      <c r="F29" s="223">
        <f t="shared" ref="F29:I33" ca="1" si="13">E29</f>
        <v>6.4293066279561314E-2</v>
      </c>
      <c r="G29" s="223">
        <f t="shared" ca="1" si="13"/>
        <v>6.4293066279561314E-2</v>
      </c>
      <c r="H29" s="223">
        <f t="shared" ca="1" si="13"/>
        <v>6.4293066279561314E-2</v>
      </c>
      <c r="I29" s="278">
        <f t="shared" ca="1" si="13"/>
        <v>6.4293066279561314E-2</v>
      </c>
      <c r="J29" s="20"/>
      <c r="K29" s="20"/>
      <c r="L29" s="20"/>
      <c r="M29" s="244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</row>
    <row r="30" spans="1:35" ht="16.5">
      <c r="A30" s="215"/>
      <c r="B30" s="161" t="s">
        <v>288</v>
      </c>
      <c r="C30" s="151"/>
      <c r="D30" s="269"/>
      <c r="E30" s="269">
        <v>0.2</v>
      </c>
      <c r="F30" s="223">
        <f t="shared" si="13"/>
        <v>0.2</v>
      </c>
      <c r="G30" s="223">
        <f t="shared" si="13"/>
        <v>0.2</v>
      </c>
      <c r="H30" s="223">
        <f t="shared" si="13"/>
        <v>0.2</v>
      </c>
      <c r="I30" s="278">
        <f t="shared" si="13"/>
        <v>0.2</v>
      </c>
      <c r="J30" s="20"/>
      <c r="K30" s="20"/>
      <c r="L30" s="20"/>
      <c r="M30" s="244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</row>
    <row r="31" spans="1:35">
      <c r="A31" s="215"/>
      <c r="B31" s="161" t="s">
        <v>292</v>
      </c>
      <c r="C31" s="151"/>
      <c r="D31" s="269"/>
      <c r="E31" s="269">
        <v>0.01</v>
      </c>
      <c r="F31" s="223">
        <f t="shared" si="13"/>
        <v>0.01</v>
      </c>
      <c r="G31" s="223">
        <f t="shared" si="13"/>
        <v>0.01</v>
      </c>
      <c r="H31" s="223">
        <f t="shared" si="13"/>
        <v>0.01</v>
      </c>
      <c r="I31" s="278">
        <f t="shared" si="13"/>
        <v>0.01</v>
      </c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</row>
    <row r="32" spans="1:35">
      <c r="A32" s="215"/>
      <c r="B32" s="161" t="s">
        <v>366</v>
      </c>
      <c r="C32" s="151"/>
      <c r="D32" s="269"/>
      <c r="E32" s="282">
        <v>5.0000000000000001E-3</v>
      </c>
      <c r="F32" s="219">
        <f t="shared" si="13"/>
        <v>5.0000000000000001E-3</v>
      </c>
      <c r="G32" s="219">
        <f t="shared" si="13"/>
        <v>5.0000000000000001E-3</v>
      </c>
      <c r="H32" s="219">
        <f t="shared" si="13"/>
        <v>5.0000000000000001E-3</v>
      </c>
      <c r="I32" s="279">
        <f t="shared" si="13"/>
        <v>5.0000000000000001E-3</v>
      </c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</row>
    <row r="33" spans="1:35">
      <c r="A33" s="215"/>
      <c r="B33" s="161" t="s">
        <v>368</v>
      </c>
      <c r="C33" s="151"/>
      <c r="D33" s="269"/>
      <c r="E33" s="282">
        <v>0.01</v>
      </c>
      <c r="F33" s="223">
        <f t="shared" si="13"/>
        <v>0.01</v>
      </c>
      <c r="G33" s="223">
        <f t="shared" si="13"/>
        <v>0.01</v>
      </c>
      <c r="H33" s="223">
        <f t="shared" si="13"/>
        <v>0.01</v>
      </c>
      <c r="I33" s="278">
        <f t="shared" si="13"/>
        <v>0.01</v>
      </c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</row>
    <row r="34" spans="1:35">
      <c r="A34" s="215"/>
      <c r="B34" s="161"/>
      <c r="C34" s="151"/>
      <c r="D34" s="269"/>
      <c r="E34" s="282"/>
      <c r="F34" s="151"/>
      <c r="G34" s="222"/>
      <c r="H34" s="171"/>
      <c r="I34" s="202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</row>
    <row r="35" spans="1:35">
      <c r="A35" s="215"/>
      <c r="B35" s="161" t="str">
        <f>B59</f>
        <v>Professional fees (legal, accountancy, research)</v>
      </c>
      <c r="C35" s="151"/>
      <c r="D35" s="269">
        <v>0.01</v>
      </c>
      <c r="E35" s="198">
        <v>1000</v>
      </c>
      <c r="F35" s="212">
        <f t="shared" ref="F35:I43" si="14">E35*(1+$D35)</f>
        <v>1010</v>
      </c>
      <c r="G35" s="274">
        <f t="shared" ref="G35:I35" si="15">F35*(1+$D35)</f>
        <v>1020.1</v>
      </c>
      <c r="H35" s="270">
        <f t="shared" si="15"/>
        <v>1030.3009999999999</v>
      </c>
      <c r="I35" s="275">
        <f t="shared" si="15"/>
        <v>1040.60401</v>
      </c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</row>
    <row r="36" spans="1:35">
      <c r="A36" s="215"/>
      <c r="B36" s="161" t="str">
        <f t="shared" ref="B36:B37" si="16">B60</f>
        <v>Communication (tel, post, and shipping)</v>
      </c>
      <c r="C36" s="151"/>
      <c r="D36" s="269">
        <v>0.02</v>
      </c>
      <c r="E36" s="198">
        <v>100</v>
      </c>
      <c r="F36" s="212">
        <f t="shared" si="14"/>
        <v>102</v>
      </c>
      <c r="G36" s="274">
        <f t="shared" ref="G36:I36" si="17">F36*(1+$D36)</f>
        <v>104.04</v>
      </c>
      <c r="H36" s="270">
        <f t="shared" si="17"/>
        <v>106.1208</v>
      </c>
      <c r="I36" s="275">
        <f t="shared" si="17"/>
        <v>108.243216</v>
      </c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</row>
    <row r="37" spans="1:35">
      <c r="A37" s="215"/>
      <c r="B37" s="161" t="str">
        <f t="shared" si="16"/>
        <v>Internet Connection</v>
      </c>
      <c r="C37" s="151"/>
      <c r="D37" s="269">
        <v>0</v>
      </c>
      <c r="E37" s="198">
        <v>300</v>
      </c>
      <c r="F37" s="212">
        <f t="shared" si="14"/>
        <v>300</v>
      </c>
      <c r="G37" s="265">
        <f t="shared" ref="G37:I37" si="18">F37*(1+$D37)</f>
        <v>300</v>
      </c>
      <c r="H37" s="212">
        <f t="shared" si="18"/>
        <v>300</v>
      </c>
      <c r="I37" s="266">
        <f t="shared" si="18"/>
        <v>300</v>
      </c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</row>
    <row r="38" spans="1:35">
      <c r="A38" s="215"/>
      <c r="B38" s="161" t="str">
        <f>B64</f>
        <v>Oversea Trips</v>
      </c>
      <c r="C38" s="151"/>
      <c r="D38" s="269">
        <v>0.02</v>
      </c>
      <c r="E38" s="198">
        <v>2000</v>
      </c>
      <c r="F38" s="212">
        <f t="shared" si="14"/>
        <v>2040</v>
      </c>
      <c r="G38" s="274">
        <f t="shared" ref="G38:I38" si="19">F38*(1+$D38)</f>
        <v>2080.8000000000002</v>
      </c>
      <c r="H38" s="270">
        <f t="shared" si="19"/>
        <v>2122.4160000000002</v>
      </c>
      <c r="I38" s="275">
        <f t="shared" si="19"/>
        <v>2164.8643200000001</v>
      </c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</row>
    <row r="39" spans="1:35">
      <c r="A39" s="215"/>
      <c r="B39" s="161" t="str">
        <f>B65</f>
        <v>Domestic Travel and Entertainment</v>
      </c>
      <c r="C39" s="151"/>
      <c r="D39" s="269">
        <v>0.02</v>
      </c>
      <c r="E39" s="198">
        <v>500</v>
      </c>
      <c r="F39" s="212">
        <f t="shared" si="14"/>
        <v>510</v>
      </c>
      <c r="G39" s="274">
        <f t="shared" ref="G39:I39" si="20">F39*(1+$D39)</f>
        <v>520.20000000000005</v>
      </c>
      <c r="H39" s="270">
        <f t="shared" si="20"/>
        <v>530.60400000000004</v>
      </c>
      <c r="I39" s="275">
        <f t="shared" si="20"/>
        <v>541.21608000000003</v>
      </c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</row>
    <row r="40" spans="1:35">
      <c r="A40" s="215"/>
      <c r="B40" s="161"/>
      <c r="C40" s="151"/>
      <c r="D40" s="269"/>
      <c r="E40" s="198"/>
      <c r="F40" s="212"/>
      <c r="G40" s="265"/>
      <c r="H40" s="212"/>
      <c r="I40" s="266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</row>
    <row r="41" spans="1:35">
      <c r="A41" s="215"/>
      <c r="B41" s="161" t="str">
        <f>B102</f>
        <v>Professional Organization Membership</v>
      </c>
      <c r="C41" s="151"/>
      <c r="D41" s="269">
        <v>0</v>
      </c>
      <c r="E41" s="198">
        <v>500</v>
      </c>
      <c r="F41" s="212">
        <f t="shared" si="14"/>
        <v>500</v>
      </c>
      <c r="G41" s="265">
        <f t="shared" si="14"/>
        <v>500</v>
      </c>
      <c r="H41" s="212">
        <f t="shared" si="14"/>
        <v>500</v>
      </c>
      <c r="I41" s="266">
        <f t="shared" si="14"/>
        <v>500</v>
      </c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</row>
    <row r="42" spans="1:35">
      <c r="A42" s="215"/>
      <c r="B42" s="161" t="str">
        <f t="shared" ref="B42" si="21">B103</f>
        <v>Authority Relationship Management</v>
      </c>
      <c r="C42" s="151"/>
      <c r="D42" s="269">
        <v>0.02</v>
      </c>
      <c r="E42" s="198">
        <v>500</v>
      </c>
      <c r="F42" s="212">
        <f t="shared" si="14"/>
        <v>510</v>
      </c>
      <c r="G42" s="276">
        <f>F42*(1+$D42)</f>
        <v>520.20000000000005</v>
      </c>
      <c r="H42" s="271">
        <f t="shared" si="14"/>
        <v>530.60400000000004</v>
      </c>
      <c r="I42" s="277">
        <f t="shared" si="14"/>
        <v>541.21608000000003</v>
      </c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</row>
    <row r="43" spans="1:35">
      <c r="A43" s="215"/>
      <c r="B43" s="161" t="s">
        <v>1031</v>
      </c>
      <c r="C43" s="151"/>
      <c r="D43" s="269">
        <v>0.02</v>
      </c>
      <c r="E43" s="198">
        <v>1000</v>
      </c>
      <c r="F43" s="212">
        <f t="shared" si="14"/>
        <v>1020</v>
      </c>
      <c r="G43" s="274">
        <f t="shared" si="14"/>
        <v>1040.4000000000001</v>
      </c>
      <c r="H43" s="270">
        <f t="shared" si="14"/>
        <v>1061.2080000000001</v>
      </c>
      <c r="I43" s="275">
        <f t="shared" si="14"/>
        <v>1082.4321600000001</v>
      </c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</row>
    <row r="44" spans="1:35">
      <c r="A44" s="215"/>
      <c r="B44" s="161"/>
      <c r="C44" s="151"/>
      <c r="D44" s="269"/>
      <c r="E44" s="283"/>
      <c r="F44" s="151"/>
      <c r="G44" s="222"/>
      <c r="H44" s="171"/>
      <c r="I44" s="202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</row>
    <row r="45" spans="1:35">
      <c r="A45" s="215"/>
      <c r="B45" s="177"/>
      <c r="C45" s="138"/>
      <c r="D45" s="174"/>
      <c r="E45" s="284"/>
      <c r="F45" s="138"/>
      <c r="G45" s="224"/>
      <c r="H45" s="173"/>
      <c r="I45" s="245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</row>
    <row r="46" spans="1:35">
      <c r="A46" s="215"/>
      <c r="B46" s="151"/>
      <c r="C46" s="151"/>
      <c r="D46" s="151"/>
      <c r="E46" s="212"/>
      <c r="F46" s="151"/>
      <c r="G46" s="249"/>
      <c r="H46" s="171"/>
      <c r="I46" s="25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</row>
    <row r="47" spans="1:35">
      <c r="A47" s="215"/>
      <c r="B47" s="189" t="s">
        <v>357</v>
      </c>
      <c r="C47" s="168"/>
      <c r="D47" s="258" t="s">
        <v>358</v>
      </c>
      <c r="E47" s="259"/>
      <c r="F47" s="168"/>
      <c r="G47" s="260"/>
      <c r="H47" s="169"/>
      <c r="I47" s="261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</row>
    <row r="48" spans="1:35">
      <c r="A48" s="215"/>
      <c r="B48" s="150">
        <v>3000</v>
      </c>
      <c r="C48" s="151"/>
      <c r="D48" s="151">
        <v>11500</v>
      </c>
      <c r="E48" s="212" t="s">
        <v>34</v>
      </c>
      <c r="F48" s="267">
        <v>100</v>
      </c>
      <c r="G48" s="268">
        <v>200</v>
      </c>
      <c r="H48" s="171"/>
      <c r="I48" s="262"/>
      <c r="J48" s="20"/>
      <c r="K48" s="20"/>
      <c r="L48" s="263"/>
      <c r="M48" s="264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</row>
    <row r="49" spans="1:36">
      <c r="A49" s="215"/>
      <c r="B49" s="150">
        <v>700</v>
      </c>
      <c r="C49" s="151"/>
      <c r="D49" s="151">
        <v>3000</v>
      </c>
      <c r="E49" s="212" t="s">
        <v>359</v>
      </c>
      <c r="F49" s="267">
        <v>300</v>
      </c>
      <c r="G49" s="268">
        <v>1800</v>
      </c>
      <c r="H49" s="171"/>
      <c r="I49" s="262"/>
      <c r="J49" s="20"/>
      <c r="K49" s="20"/>
      <c r="L49" s="151"/>
      <c r="M49" s="151"/>
      <c r="N49" s="151"/>
      <c r="O49" s="212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</row>
    <row r="50" spans="1:36">
      <c r="A50" s="215"/>
      <c r="B50" s="150">
        <v>300</v>
      </c>
      <c r="C50" s="151"/>
      <c r="D50" s="151">
        <v>1800</v>
      </c>
      <c r="E50" s="212" t="s">
        <v>360</v>
      </c>
      <c r="F50" s="267">
        <v>500</v>
      </c>
      <c r="G50" s="268">
        <v>3000</v>
      </c>
      <c r="H50" s="171"/>
      <c r="I50" s="262"/>
      <c r="J50" s="20"/>
      <c r="K50" s="20"/>
      <c r="L50" s="151"/>
      <c r="M50" s="151"/>
      <c r="N50" s="151"/>
      <c r="O50" s="212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</row>
    <row r="51" spans="1:36">
      <c r="A51" s="215"/>
      <c r="B51" s="150">
        <v>100</v>
      </c>
      <c r="C51" s="151"/>
      <c r="D51" s="151">
        <v>200</v>
      </c>
      <c r="E51" s="212" t="s">
        <v>361</v>
      </c>
      <c r="F51" s="267">
        <v>3000</v>
      </c>
      <c r="G51" s="268">
        <v>11500</v>
      </c>
      <c r="H51" s="171"/>
      <c r="I51" s="262"/>
      <c r="J51" s="20"/>
      <c r="K51" s="20"/>
      <c r="L51" s="151"/>
      <c r="M51" s="151"/>
      <c r="N51" s="151"/>
      <c r="O51" s="151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</row>
    <row r="52" spans="1:36">
      <c r="A52" s="215"/>
      <c r="B52" s="150" t="s">
        <v>363</v>
      </c>
      <c r="C52" s="151"/>
      <c r="D52" s="151"/>
      <c r="E52" s="155">
        <f>'2. 5-Yr Profit &amp; Loss'!E17</f>
        <v>278.46956187647999</v>
      </c>
      <c r="F52" s="155">
        <f>'2. 5-Yr Profit &amp; Loss'!F17</f>
        <v>417.70434281472001</v>
      </c>
      <c r="G52" s="155">
        <f>'2. 5-Yr Profit &amp; Loss'!G17</f>
        <v>584.78607994060803</v>
      </c>
      <c r="H52" s="155">
        <f>'2. 5-Yr Profit &amp; Loss'!H17</f>
        <v>760.22190392279037</v>
      </c>
      <c r="I52" s="202">
        <f>'2. 5-Yr Profit &amp; Loss'!I17</f>
        <v>988.28847509962759</v>
      </c>
      <c r="J52" s="20"/>
      <c r="K52" s="20"/>
      <c r="L52" s="151"/>
      <c r="M52" s="151"/>
      <c r="N52" s="151"/>
      <c r="O52" s="151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</row>
    <row r="53" spans="1:36">
      <c r="A53" s="215"/>
      <c r="B53" s="183" t="s">
        <v>362</v>
      </c>
      <c r="C53" s="138"/>
      <c r="D53" s="138"/>
      <c r="E53" s="156">
        <f>VLOOKUP(E52,$F$48:$G$51,2,TRUE)</f>
        <v>200</v>
      </c>
      <c r="F53" s="156">
        <f t="shared" ref="F53:I53" si="22">VLOOKUP(F52,$F$48:$G$51,2,TRUE)</f>
        <v>1800</v>
      </c>
      <c r="G53" s="156">
        <f t="shared" si="22"/>
        <v>3000</v>
      </c>
      <c r="H53" s="156">
        <f t="shared" si="22"/>
        <v>3000</v>
      </c>
      <c r="I53" s="203">
        <f t="shared" si="22"/>
        <v>3000</v>
      </c>
      <c r="J53" s="20"/>
      <c r="K53" s="20"/>
      <c r="L53" s="151"/>
      <c r="M53" s="151"/>
      <c r="N53" s="151"/>
      <c r="O53" s="151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</row>
    <row r="54" spans="1:36">
      <c r="A54" s="215"/>
      <c r="B54" s="151"/>
      <c r="C54" s="151"/>
      <c r="D54" s="151"/>
      <c r="E54" s="212"/>
      <c r="F54" s="151"/>
      <c r="G54" s="249"/>
      <c r="H54" s="171"/>
      <c r="I54" s="25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</row>
    <row r="55" spans="1:36" ht="15.75">
      <c r="A55" s="215"/>
      <c r="B55" s="145" t="s">
        <v>293</v>
      </c>
      <c r="C55" s="146"/>
      <c r="D55" s="146" t="s">
        <v>332</v>
      </c>
      <c r="E55" s="146"/>
      <c r="F55" s="146"/>
      <c r="G55" s="146"/>
      <c r="H55" s="146"/>
      <c r="I55" s="799" t="s">
        <v>24</v>
      </c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</row>
    <row r="56" spans="1:36">
      <c r="A56" s="215"/>
      <c r="B56" s="147" t="s">
        <v>294</v>
      </c>
      <c r="C56" s="148"/>
      <c r="D56" s="67" t="s">
        <v>29</v>
      </c>
      <c r="E56" s="67" t="s">
        <v>30</v>
      </c>
      <c r="F56" s="67" t="s">
        <v>31</v>
      </c>
      <c r="G56" s="67" t="s">
        <v>32</v>
      </c>
      <c r="H56" s="67" t="s">
        <v>33</v>
      </c>
      <c r="I56" s="621" t="s">
        <v>101</v>
      </c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</row>
    <row r="57" spans="1:36">
      <c r="A57" s="215"/>
      <c r="B57" s="147"/>
      <c r="C57" s="148"/>
      <c r="D57" s="67">
        <v>41821</v>
      </c>
      <c r="E57" s="67">
        <v>42186</v>
      </c>
      <c r="F57" s="67">
        <v>42552</v>
      </c>
      <c r="G57" s="67">
        <v>42917</v>
      </c>
      <c r="H57" s="246">
        <v>43282</v>
      </c>
      <c r="I57" s="621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</row>
    <row r="58" spans="1:36">
      <c r="A58" s="215"/>
      <c r="B58" s="225" t="s">
        <v>275</v>
      </c>
      <c r="C58" s="189"/>
      <c r="D58" s="193"/>
      <c r="E58" s="194"/>
      <c r="F58" s="194"/>
      <c r="G58" s="194"/>
      <c r="H58" s="192"/>
      <c r="I58" s="622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</row>
    <row r="59" spans="1:36">
      <c r="A59" s="215"/>
      <c r="B59" s="161" t="s">
        <v>295</v>
      </c>
      <c r="C59" s="150" t="s">
        <v>276</v>
      </c>
      <c r="D59" s="256">
        <f>'App 11_Yr1 Op Exp'!D110</f>
        <v>12000</v>
      </c>
      <c r="E59" s="152">
        <f>VLOOKUP(B59,$B$20:$I$44,4,FALSE)*12</f>
        <v>12000</v>
      </c>
      <c r="F59" s="152">
        <f>VLOOKUP(B59,$B$20:$I$44,5,FALSE)*12</f>
        <v>12120</v>
      </c>
      <c r="G59" s="152">
        <f>VLOOKUP($B59,$B$20:$I$44,6,FALSE)*12</f>
        <v>12241.2</v>
      </c>
      <c r="H59" s="152">
        <f>VLOOKUP($B59,$B$20:$I$44,7,FALSE)*12</f>
        <v>12363.611999999999</v>
      </c>
      <c r="I59" s="623" t="s">
        <v>296</v>
      </c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</row>
    <row r="60" spans="1:36">
      <c r="A60" s="215"/>
      <c r="B60" s="161" t="s">
        <v>297</v>
      </c>
      <c r="C60" s="150" t="s">
        <v>276</v>
      </c>
      <c r="D60" s="256">
        <f>'App 11_Yr1 Op Exp'!D111</f>
        <v>1200</v>
      </c>
      <c r="E60" s="152">
        <f>VLOOKUP(B60,$B$20:$I$44,4,FALSE)*12</f>
        <v>1200</v>
      </c>
      <c r="F60" s="152">
        <f>VLOOKUP(B60,$B$20:$I$44,5,FALSE)*12</f>
        <v>1224</v>
      </c>
      <c r="G60" s="152">
        <f>VLOOKUP($B60,$B$20:$I$44,6,FALSE)*12</f>
        <v>1248.48</v>
      </c>
      <c r="H60" s="152">
        <f>VLOOKUP($B60,$B$20:$I$44,7,FALSE)*12</f>
        <v>1273.4495999999999</v>
      </c>
      <c r="I60" s="623" t="s">
        <v>296</v>
      </c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</row>
    <row r="61" spans="1:36">
      <c r="A61" s="215"/>
      <c r="B61" s="161" t="s">
        <v>298</v>
      </c>
      <c r="C61" s="150"/>
      <c r="D61" s="256">
        <f>'App 11_Yr1 Op Exp'!D112</f>
        <v>3600</v>
      </c>
      <c r="E61" s="152">
        <f>VLOOKUP(B61,$B$20:$I$44,4,FALSE)*12</f>
        <v>3600</v>
      </c>
      <c r="F61" s="152">
        <f>VLOOKUP(B61,$B$20:$I$44,5,FALSE)*12</f>
        <v>3600</v>
      </c>
      <c r="G61" s="152">
        <f t="shared" ref="G61:H61" si="23">G37*12</f>
        <v>3600</v>
      </c>
      <c r="H61" s="153">
        <f t="shared" si="23"/>
        <v>3600</v>
      </c>
      <c r="I61" s="623" t="s">
        <v>296</v>
      </c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</row>
    <row r="62" spans="1:36">
      <c r="A62" s="215"/>
      <c r="B62" s="161" t="s">
        <v>299</v>
      </c>
      <c r="C62" s="150"/>
      <c r="D62" s="256">
        <f>'App 11_Yr1 Op Exp'!D113</f>
        <v>7930</v>
      </c>
      <c r="E62" s="152">
        <f t="shared" ref="E62:H63" si="24">F23*E115</f>
        <v>9792</v>
      </c>
      <c r="F62" s="152">
        <f t="shared" si="24"/>
        <v>16479.936000000002</v>
      </c>
      <c r="G62" s="152">
        <f t="shared" si="24"/>
        <v>17828.294400000002</v>
      </c>
      <c r="H62" s="153">
        <f t="shared" si="24"/>
        <v>18834.319584000001</v>
      </c>
      <c r="I62" s="623" t="s">
        <v>300</v>
      </c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</row>
    <row r="63" spans="1:36">
      <c r="A63" s="215"/>
      <c r="B63" s="161" t="s">
        <v>301</v>
      </c>
      <c r="C63" s="150"/>
      <c r="D63" s="256">
        <f>'App 11_Yr1 Op Exp'!D114</f>
        <v>7930</v>
      </c>
      <c r="E63" s="152">
        <f t="shared" si="24"/>
        <v>9792</v>
      </c>
      <c r="F63" s="152">
        <f t="shared" si="24"/>
        <v>16479.936000000002</v>
      </c>
      <c r="G63" s="152">
        <f t="shared" si="24"/>
        <v>17828.294400000002</v>
      </c>
      <c r="H63" s="153">
        <f t="shared" si="24"/>
        <v>18834.319584000001</v>
      </c>
      <c r="I63" s="623" t="s">
        <v>300</v>
      </c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</row>
    <row r="64" spans="1:36">
      <c r="A64" s="215"/>
      <c r="B64" s="161" t="s">
        <v>302</v>
      </c>
      <c r="C64" s="150"/>
      <c r="D64" s="256">
        <f>'App 11_Yr1 Op Exp'!D115</f>
        <v>10000</v>
      </c>
      <c r="E64" s="152">
        <f>VLOOKUP(B64,$B$20:$I$44,4,FALSE)*12</f>
        <v>24000</v>
      </c>
      <c r="F64" s="152">
        <f>VLOOKUP(B64,$B$20:$I$44,5,FALSE)*12</f>
        <v>24480</v>
      </c>
      <c r="G64" s="152">
        <f>VLOOKUP($B64,$B$20:$I$44,6,FALSE)*12</f>
        <v>24969.600000000002</v>
      </c>
      <c r="H64" s="152">
        <f>VLOOKUP($B64,$B$20:$I$44,7,FALSE)*12</f>
        <v>25468.992000000002</v>
      </c>
      <c r="I64" s="623" t="s">
        <v>303</v>
      </c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</row>
    <row r="65" spans="1:36">
      <c r="A65" s="215"/>
      <c r="B65" s="161" t="s">
        <v>304</v>
      </c>
      <c r="C65" s="150"/>
      <c r="D65" s="256">
        <f>'App 11_Yr1 Op Exp'!D116</f>
        <v>6000</v>
      </c>
      <c r="E65" s="152">
        <f>VLOOKUP(B65,$B$20:$I$44,4,FALSE)*12</f>
        <v>6000</v>
      </c>
      <c r="F65" s="152">
        <f>VLOOKUP(B65,$B$20:$I$44,5,FALSE)*12</f>
        <v>6120</v>
      </c>
      <c r="G65" s="152">
        <f>VLOOKUP($B65,$B$20:$I$44,6,FALSE)*12</f>
        <v>6242.4000000000005</v>
      </c>
      <c r="H65" s="152">
        <f>VLOOKUP($B65,$B$20:$I$44,7,FALSE)*12</f>
        <v>6367.2480000000005</v>
      </c>
      <c r="I65" s="623" t="s">
        <v>303</v>
      </c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</row>
    <row r="66" spans="1:36">
      <c r="A66" s="215"/>
      <c r="B66" s="161" t="s">
        <v>305</v>
      </c>
      <c r="C66" s="150" t="s">
        <v>276</v>
      </c>
      <c r="D66" s="256">
        <f>'App 11_Yr1 Op Exp'!D117</f>
        <v>24742.006041337423</v>
      </c>
      <c r="E66" s="152">
        <f>'App 1_5Yr Revenue'!F13*'App 10_5Yr Op Exp'!F$32</f>
        <v>44932.517851794793</v>
      </c>
      <c r="F66" s="152">
        <f>'App 1_5Yr Revenue'!G13*'App 10_5Yr Op Exp'!G$32</f>
        <v>63534.580242437834</v>
      </c>
      <c r="G66" s="152">
        <f>'App 1_5Yr Revenue'!H13*'App 10_5Yr Op Exp'!H$32</f>
        <v>83420.903858320875</v>
      </c>
      <c r="H66" s="153">
        <f>'App 1_5Yr Revenue'!I13*'App 10_5Yr Op Exp'!I$32</f>
        <v>109531.64676597533</v>
      </c>
      <c r="I66" s="623" t="s">
        <v>296</v>
      </c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</row>
    <row r="67" spans="1:36">
      <c r="A67" s="215"/>
      <c r="B67" s="161"/>
      <c r="C67" s="150" t="s">
        <v>276</v>
      </c>
      <c r="D67" s="256"/>
      <c r="E67" s="152"/>
      <c r="F67" s="152"/>
      <c r="G67" s="152"/>
      <c r="H67" s="153"/>
      <c r="I67" s="624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</row>
    <row r="68" spans="1:36">
      <c r="A68" s="215"/>
      <c r="B68" s="164" t="s">
        <v>234</v>
      </c>
      <c r="C68" s="165"/>
      <c r="D68" s="229">
        <f t="shared" ref="D68:H68" si="25">SUM(D59:D67)</f>
        <v>73402.006041337416</v>
      </c>
      <c r="E68" s="257">
        <f t="shared" si="25"/>
        <v>111316.51785179479</v>
      </c>
      <c r="F68" s="257">
        <f t="shared" si="25"/>
        <v>144038.45224243784</v>
      </c>
      <c r="G68" s="257">
        <f t="shared" si="25"/>
        <v>167379.17265832087</v>
      </c>
      <c r="H68" s="230">
        <f t="shared" si="25"/>
        <v>196273.58753397531</v>
      </c>
      <c r="I68" s="625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</row>
    <row r="69" spans="1:36" s="20" customFormat="1">
      <c r="A69" s="215"/>
      <c r="B69" s="151"/>
      <c r="C69" s="151"/>
      <c r="D69" s="247"/>
      <c r="E69" s="247"/>
      <c r="F69" s="247"/>
      <c r="G69" s="247"/>
      <c r="H69" s="247"/>
      <c r="I69" s="626"/>
    </row>
    <row r="70" spans="1:36" s="20" customFormat="1">
      <c r="A70" s="215"/>
      <c r="B70" s="225" t="s">
        <v>276</v>
      </c>
      <c r="C70" s="189"/>
      <c r="D70" s="193"/>
      <c r="E70" s="194"/>
      <c r="F70" s="194"/>
      <c r="G70" s="194"/>
      <c r="H70" s="195"/>
      <c r="I70" s="627"/>
    </row>
    <row r="71" spans="1:36" s="20" customFormat="1">
      <c r="A71" s="215"/>
      <c r="B71" s="161" t="s">
        <v>306</v>
      </c>
      <c r="C71" s="150" t="s">
        <v>276</v>
      </c>
      <c r="D71" s="256">
        <f>'App 11_Yr1 Op Exp'!D121</f>
        <v>270000</v>
      </c>
      <c r="E71" s="152">
        <f>F20*F21*12</f>
        <v>275400</v>
      </c>
      <c r="F71" s="152">
        <f t="shared" ref="F71:H71" si="26">G20*G21*12</f>
        <v>561816.00000000012</v>
      </c>
      <c r="G71" s="152">
        <f t="shared" si="26"/>
        <v>573052.32000000007</v>
      </c>
      <c r="H71" s="153">
        <f t="shared" si="26"/>
        <v>584513.36640000017</v>
      </c>
      <c r="I71" s="628" t="s">
        <v>365</v>
      </c>
    </row>
    <row r="72" spans="1:36" s="20" customFormat="1">
      <c r="A72" s="215"/>
      <c r="B72" s="161" t="s">
        <v>286</v>
      </c>
      <c r="C72" s="150" t="s">
        <v>276</v>
      </c>
      <c r="D72" s="256">
        <f>'App 11_Yr1 Op Exp'!D122</f>
        <v>7930</v>
      </c>
      <c r="E72" s="152">
        <f>F22*E122</f>
        <v>9696</v>
      </c>
      <c r="F72" s="152">
        <f>G22*F122</f>
        <v>16158.384</v>
      </c>
      <c r="G72" s="152">
        <f>H22*G122</f>
        <v>17309.056800000002</v>
      </c>
      <c r="H72" s="153">
        <f>I22*H122</f>
        <v>18106.509774000002</v>
      </c>
      <c r="I72" s="628" t="s">
        <v>300</v>
      </c>
    </row>
    <row r="73" spans="1:36" s="20" customFormat="1">
      <c r="A73" s="215"/>
      <c r="B73" s="161" t="s">
        <v>307</v>
      </c>
      <c r="C73" s="150" t="s">
        <v>276</v>
      </c>
      <c r="D73" s="256">
        <f>'App 11_Yr1 Op Exp'!D123</f>
        <v>49484.012082674846</v>
      </c>
      <c r="E73" s="152">
        <f>'App 1_5Yr Revenue'!F13*'App 10_5Yr Op Exp'!F33</f>
        <v>89865.035703589587</v>
      </c>
      <c r="F73" s="152">
        <f>'App 1_5Yr Revenue'!G13*'App 10_5Yr Op Exp'!G33</f>
        <v>127069.16048487567</v>
      </c>
      <c r="G73" s="152">
        <f>'App 1_5Yr Revenue'!H13*'App 10_5Yr Op Exp'!H33</f>
        <v>166841.80771664175</v>
      </c>
      <c r="H73" s="153">
        <f>'App 1_5Yr Revenue'!I13*'App 10_5Yr Op Exp'!I33</f>
        <v>219063.29353195065</v>
      </c>
      <c r="I73" s="628" t="s">
        <v>365</v>
      </c>
    </row>
    <row r="74" spans="1:36" s="20" customFormat="1">
      <c r="A74" s="215"/>
      <c r="B74" s="161"/>
      <c r="C74" s="150" t="s">
        <v>276</v>
      </c>
      <c r="D74" s="256"/>
      <c r="E74" s="152"/>
      <c r="F74" s="152"/>
      <c r="G74" s="152"/>
      <c r="H74" s="153"/>
      <c r="I74" s="628"/>
    </row>
    <row r="75" spans="1:36" s="20" customFormat="1">
      <c r="A75" s="215"/>
      <c r="B75" s="164" t="s">
        <v>234</v>
      </c>
      <c r="C75" s="165"/>
      <c r="D75" s="229">
        <f>SUM(D71:D73)</f>
        <v>327414.01208267483</v>
      </c>
      <c r="E75" s="257">
        <f t="shared" ref="E75:H75" si="27">SUM(E71:E73)</f>
        <v>374961.03570358956</v>
      </c>
      <c r="F75" s="257">
        <f t="shared" si="27"/>
        <v>705043.54448487575</v>
      </c>
      <c r="G75" s="257">
        <f t="shared" si="27"/>
        <v>757203.18451664178</v>
      </c>
      <c r="H75" s="230">
        <f t="shared" si="27"/>
        <v>821683.16970595089</v>
      </c>
      <c r="I75" s="625"/>
    </row>
    <row r="76" spans="1:36" s="20" customFormat="1">
      <c r="A76" s="215"/>
      <c r="B76" s="151"/>
      <c r="C76" s="151"/>
      <c r="D76" s="191"/>
      <c r="E76" s="191"/>
      <c r="F76" s="191"/>
      <c r="G76" s="191"/>
      <c r="H76" s="191"/>
      <c r="I76" s="629"/>
    </row>
    <row r="77" spans="1:36" s="20" customFormat="1">
      <c r="A77" s="215"/>
      <c r="B77" s="225" t="s">
        <v>277</v>
      </c>
      <c r="C77" s="150"/>
      <c r="D77" s="193"/>
      <c r="E77" s="194"/>
      <c r="F77" s="194"/>
      <c r="G77" s="194"/>
      <c r="H77" s="195"/>
      <c r="I77" s="627"/>
    </row>
    <row r="78" spans="1:36" s="20" customFormat="1">
      <c r="A78" s="215"/>
      <c r="B78" s="161" t="s">
        <v>344</v>
      </c>
      <c r="C78" s="150" t="s">
        <v>277</v>
      </c>
      <c r="D78" s="162">
        <f>'App 1_5Yr Revenue'!E13</f>
        <v>4948401.2082674839</v>
      </c>
      <c r="E78" s="162">
        <f>'App 1_5Yr Revenue'!F13</f>
        <v>8986503.5703589581</v>
      </c>
      <c r="F78" s="162">
        <f>'App 1_5Yr Revenue'!G13</f>
        <v>12706916.048487566</v>
      </c>
      <c r="G78" s="162">
        <f>'App 1_5Yr Revenue'!H13</f>
        <v>16684180.771664174</v>
      </c>
      <c r="H78" s="176">
        <f>'App 1_5Yr Revenue'!I13</f>
        <v>21906329.353195064</v>
      </c>
      <c r="I78" s="628" t="s">
        <v>71</v>
      </c>
    </row>
    <row r="79" spans="1:36" s="20" customFormat="1">
      <c r="A79" s="215"/>
      <c r="B79" s="161" t="s">
        <v>345</v>
      </c>
      <c r="C79" s="150" t="s">
        <v>277</v>
      </c>
      <c r="D79" s="170">
        <f>E10</f>
        <v>97500</v>
      </c>
      <c r="E79" s="172">
        <f>E78*$E$28</f>
        <v>179730.07140717917</v>
      </c>
      <c r="F79" s="172">
        <f t="shared" ref="F79:H79" si="28">F78*$E$28</f>
        <v>254138.32096975134</v>
      </c>
      <c r="G79" s="172">
        <f t="shared" si="28"/>
        <v>333683.6154332835</v>
      </c>
      <c r="H79" s="175">
        <f t="shared" si="28"/>
        <v>438126.5870639013</v>
      </c>
      <c r="I79" s="628" t="s">
        <v>71</v>
      </c>
    </row>
    <row r="80" spans="1:36" s="20" customFormat="1">
      <c r="A80" s="215"/>
      <c r="B80" s="164" t="s">
        <v>346</v>
      </c>
      <c r="C80" s="165"/>
      <c r="D80" s="228">
        <f>D79</f>
        <v>97500</v>
      </c>
      <c r="E80" s="166">
        <f>E79</f>
        <v>179730.07140717917</v>
      </c>
      <c r="F80" s="166">
        <f>F79</f>
        <v>254138.32096975134</v>
      </c>
      <c r="G80" s="166">
        <f>G79</f>
        <v>333683.6154332835</v>
      </c>
      <c r="H80" s="167">
        <f>H79</f>
        <v>438126.5870639013</v>
      </c>
      <c r="I80" s="625"/>
    </row>
    <row r="81" spans="1:9" s="20" customFormat="1">
      <c r="A81" s="215"/>
      <c r="D81" s="620">
        <f>D80/D78</f>
        <v>1.9703333641803943E-2</v>
      </c>
      <c r="E81" s="619">
        <f t="shared" ref="E81:H81" si="29">E80/E78</f>
        <v>0.02</v>
      </c>
      <c r="F81" s="619">
        <f t="shared" si="29"/>
        <v>0.02</v>
      </c>
      <c r="G81" s="619">
        <f t="shared" si="29"/>
        <v>0.02</v>
      </c>
      <c r="H81" s="619">
        <f t="shared" si="29"/>
        <v>0.02</v>
      </c>
      <c r="I81" s="630"/>
    </row>
    <row r="82" spans="1:9" s="20" customFormat="1">
      <c r="A82" s="215"/>
      <c r="B82" s="225" t="s">
        <v>278</v>
      </c>
      <c r="C82" s="150"/>
      <c r="D82" s="193"/>
      <c r="E82" s="194"/>
      <c r="F82" s="194"/>
      <c r="G82" s="194"/>
      <c r="H82" s="195"/>
      <c r="I82" s="627"/>
    </row>
    <row r="83" spans="1:9" s="20" customFormat="1">
      <c r="A83" s="215"/>
      <c r="B83" s="161" t="s">
        <v>181</v>
      </c>
      <c r="C83" s="150" t="s">
        <v>278</v>
      </c>
      <c r="D83" s="256">
        <f>'App 11_Yr1 Op Exp'!D137</f>
        <v>1420</v>
      </c>
      <c r="E83" s="152">
        <f t="shared" ref="E83:H85" si="30">E128*F25*12</f>
        <v>1591.1999999999998</v>
      </c>
      <c r="F83" s="152">
        <f t="shared" si="30"/>
        <v>3246.0480000000002</v>
      </c>
      <c r="G83" s="152">
        <f t="shared" si="30"/>
        <v>3310.9689600000002</v>
      </c>
      <c r="H83" s="153">
        <f t="shared" si="30"/>
        <v>3377.1883392000004</v>
      </c>
      <c r="I83" s="628" t="str">
        <f>B83</f>
        <v>Doctors</v>
      </c>
    </row>
    <row r="84" spans="1:9" s="20" customFormat="1">
      <c r="A84" s="215"/>
      <c r="B84" s="161" t="s">
        <v>315</v>
      </c>
      <c r="C84" s="150" t="s">
        <v>278</v>
      </c>
      <c r="D84" s="256">
        <f>'App 11_Yr1 Op Exp'!D138</f>
        <v>2710</v>
      </c>
      <c r="E84" s="152">
        <f t="shared" si="30"/>
        <v>3059.9999999999995</v>
      </c>
      <c r="F84" s="152">
        <f t="shared" si="30"/>
        <v>5368.4639999999999</v>
      </c>
      <c r="G84" s="152">
        <f t="shared" si="30"/>
        <v>6112.5580800000007</v>
      </c>
      <c r="H84" s="153">
        <f t="shared" si="30"/>
        <v>6884.2685376000009</v>
      </c>
      <c r="I84" s="628" t="str">
        <f>B84</f>
        <v>Technicians/Nurses</v>
      </c>
    </row>
    <row r="85" spans="1:9" s="20" customFormat="1">
      <c r="A85" s="215"/>
      <c r="B85" s="161" t="s">
        <v>350</v>
      </c>
      <c r="C85" s="150" t="s">
        <v>278</v>
      </c>
      <c r="D85" s="256">
        <f>'App 11_Yr1 Op Exp'!D139</f>
        <v>2720</v>
      </c>
      <c r="E85" s="152">
        <f t="shared" si="30"/>
        <v>3272.3999999999996</v>
      </c>
      <c r="F85" s="152">
        <f t="shared" si="30"/>
        <v>5018.8920000000007</v>
      </c>
      <c r="G85" s="152">
        <f t="shared" si="30"/>
        <v>5069.0809200000003</v>
      </c>
      <c r="H85" s="153">
        <f t="shared" si="30"/>
        <v>5119.7717292000007</v>
      </c>
      <c r="I85" s="628" t="s">
        <v>237</v>
      </c>
    </row>
    <row r="86" spans="1:9" s="20" customFormat="1">
      <c r="A86" s="215"/>
      <c r="B86" s="161"/>
      <c r="C86" s="150" t="s">
        <v>278</v>
      </c>
      <c r="D86" s="256"/>
      <c r="E86" s="152"/>
      <c r="F86" s="152"/>
      <c r="G86" s="152"/>
      <c r="H86" s="153"/>
      <c r="I86" s="628"/>
    </row>
    <row r="87" spans="1:9" s="20" customFormat="1">
      <c r="A87" s="215"/>
      <c r="B87" s="164" t="s">
        <v>234</v>
      </c>
      <c r="C87" s="165"/>
      <c r="D87" s="229">
        <f>SUM(D83:D85)</f>
        <v>6850</v>
      </c>
      <c r="E87" s="257">
        <f>SUM(E83:E85)</f>
        <v>7923.5999999999985</v>
      </c>
      <c r="F87" s="257">
        <f t="shared" ref="F87:G87" si="31">SUM(F83:F85)</f>
        <v>13633.404000000002</v>
      </c>
      <c r="G87" s="257">
        <f t="shared" si="31"/>
        <v>14492.607960000001</v>
      </c>
      <c r="H87" s="230">
        <f>SUM(H83:H85)</f>
        <v>15381.228606000001</v>
      </c>
      <c r="I87" s="625"/>
    </row>
    <row r="88" spans="1:9" s="20" customFormat="1">
      <c r="A88" s="215"/>
      <c r="D88" s="196"/>
      <c r="E88" s="196"/>
      <c r="F88" s="196"/>
      <c r="G88" s="196"/>
      <c r="H88" s="196"/>
      <c r="I88" s="630"/>
    </row>
    <row r="89" spans="1:9" s="20" customFormat="1">
      <c r="A89" s="215"/>
      <c r="B89" s="225" t="s">
        <v>279</v>
      </c>
      <c r="C89" s="150"/>
      <c r="D89" s="193"/>
      <c r="E89" s="194"/>
      <c r="F89" s="194"/>
      <c r="G89" s="194"/>
      <c r="H89" s="195"/>
      <c r="I89" s="627"/>
    </row>
    <row r="90" spans="1:9" s="20" customFormat="1">
      <c r="A90" s="215"/>
      <c r="B90" s="161" t="s">
        <v>316</v>
      </c>
      <c r="C90" s="150" t="s">
        <v>279</v>
      </c>
      <c r="D90" s="256">
        <f ca="1">'App 11_Yr1 Op Exp'!D144</f>
        <v>200668.15000000002</v>
      </c>
      <c r="E90" s="152"/>
      <c r="F90" s="152"/>
      <c r="G90" s="152"/>
      <c r="H90" s="153"/>
      <c r="I90" s="628" t="s">
        <v>317</v>
      </c>
    </row>
    <row r="91" spans="1:9" s="20" customFormat="1">
      <c r="A91" s="215"/>
      <c r="B91" s="161" t="s">
        <v>318</v>
      </c>
      <c r="C91" s="150" t="s">
        <v>279</v>
      </c>
      <c r="D91" s="256">
        <f>'App 11_Yr1 Op Exp'!D145</f>
        <v>135680.1</v>
      </c>
      <c r="E91" s="152"/>
      <c r="F91" s="152"/>
      <c r="G91" s="152"/>
      <c r="H91" s="153"/>
      <c r="I91" s="628" t="s">
        <v>317</v>
      </c>
    </row>
    <row r="92" spans="1:9" s="20" customFormat="1">
      <c r="A92" s="215"/>
      <c r="B92" s="161" t="s">
        <v>319</v>
      </c>
      <c r="C92" s="150" t="s">
        <v>279</v>
      </c>
      <c r="D92" s="256">
        <f ca="1">'App 11_Yr1 Op Exp'!D146</f>
        <v>8200</v>
      </c>
      <c r="E92" s="152"/>
      <c r="F92" s="152"/>
      <c r="G92" s="152"/>
      <c r="H92" s="153"/>
      <c r="I92" s="628" t="s">
        <v>320</v>
      </c>
    </row>
    <row r="93" spans="1:9" s="20" customFormat="1">
      <c r="A93" s="215"/>
      <c r="B93" s="161" t="s">
        <v>321</v>
      </c>
      <c r="C93" s="150" t="s">
        <v>279</v>
      </c>
      <c r="D93" s="256">
        <f ca="1">'App 11_Yr1 Op Exp'!D147</f>
        <v>2152</v>
      </c>
      <c r="E93" s="152"/>
      <c r="F93" s="152"/>
      <c r="G93" s="152"/>
      <c r="H93" s="153"/>
      <c r="I93" s="628" t="s">
        <v>322</v>
      </c>
    </row>
    <row r="94" spans="1:9" s="20" customFormat="1">
      <c r="A94" s="215"/>
      <c r="B94" s="161" t="s">
        <v>198</v>
      </c>
      <c r="C94" s="150" t="s">
        <v>279</v>
      </c>
      <c r="D94" s="256">
        <f ca="1">'App 11_Yr1 Op Exp'!D148</f>
        <v>15484.85</v>
      </c>
      <c r="E94" s="152"/>
      <c r="F94" s="152"/>
      <c r="G94" s="152"/>
      <c r="H94" s="153"/>
      <c r="I94" s="628" t="s">
        <v>323</v>
      </c>
    </row>
    <row r="95" spans="1:9" s="20" customFormat="1">
      <c r="A95" s="215"/>
      <c r="B95" s="161"/>
      <c r="C95" s="150" t="s">
        <v>279</v>
      </c>
      <c r="D95" s="256"/>
      <c r="E95" s="152"/>
      <c r="F95" s="152"/>
      <c r="G95" s="152"/>
      <c r="H95" s="153"/>
      <c r="I95" s="628"/>
    </row>
    <row r="96" spans="1:9" s="20" customFormat="1">
      <c r="A96" s="215"/>
      <c r="B96" s="164" t="s">
        <v>234</v>
      </c>
      <c r="C96" s="165"/>
      <c r="D96" s="229">
        <f ca="1">SUM(D90:D94)</f>
        <v>362185.1</v>
      </c>
      <c r="E96" s="257">
        <f ca="1">D98</f>
        <v>362185.09999999992</v>
      </c>
      <c r="F96" s="257">
        <f ca="1">E98</f>
        <v>342056.73328110483</v>
      </c>
      <c r="G96" s="257">
        <f ca="1">F98</f>
        <v>373202.92761604453</v>
      </c>
      <c r="H96" s="230">
        <f ca="1">G98</f>
        <v>299006.02441126556</v>
      </c>
      <c r="I96" s="625"/>
    </row>
    <row r="97" spans="1:36" s="20" customFormat="1">
      <c r="A97" s="215"/>
      <c r="B97" s="154"/>
      <c r="C97" s="154"/>
      <c r="D97" s="232"/>
      <c r="E97" s="232"/>
      <c r="F97" s="232"/>
      <c r="G97" s="232"/>
      <c r="H97" s="232"/>
      <c r="I97" s="778"/>
    </row>
    <row r="98" spans="1:36" s="20" customFormat="1" hidden="1">
      <c r="A98" s="215"/>
      <c r="B98" s="154"/>
      <c r="C98" s="154"/>
      <c r="D98" s="661">
        <f ca="1">'App 5_5-Yr Capex'!D16*'App 10_5Yr Op Exp'!E29</f>
        <v>362185.09999999992</v>
      </c>
      <c r="E98" s="661">
        <f ca="1">'App 5_5-Yr Capex'!E16*'App 10_5Yr Op Exp'!F29</f>
        <v>342056.73328110483</v>
      </c>
      <c r="F98" s="661">
        <f ca="1">'App 5_5-Yr Capex'!F16*'App 10_5Yr Op Exp'!G29</f>
        <v>373202.92761604453</v>
      </c>
      <c r="G98" s="661">
        <f ca="1">'App 5_5-Yr Capex'!G16*'App 10_5Yr Op Exp'!H29</f>
        <v>299006.02441126556</v>
      </c>
      <c r="H98" s="661">
        <f ca="1">'App 5_5-Yr Capex'!H16*'App 10_5Yr Op Exp'!I29</f>
        <v>206874.19477696958</v>
      </c>
      <c r="I98" s="778"/>
    </row>
    <row r="99" spans="1:36" s="20" customFormat="1">
      <c r="A99" s="215"/>
      <c r="D99" s="196"/>
      <c r="E99" s="196"/>
      <c r="F99" s="196"/>
      <c r="G99" s="196"/>
      <c r="H99" s="196"/>
      <c r="I99" s="630"/>
    </row>
    <row r="100" spans="1:36" s="20" customFormat="1">
      <c r="A100" s="215"/>
      <c r="B100" s="225" t="s">
        <v>198</v>
      </c>
      <c r="C100" s="150"/>
      <c r="D100" s="193"/>
      <c r="E100" s="194"/>
      <c r="F100" s="194"/>
      <c r="G100" s="194"/>
      <c r="H100" s="195"/>
      <c r="I100" s="627"/>
    </row>
    <row r="101" spans="1:36" s="20" customFormat="1">
      <c r="A101" s="215"/>
      <c r="B101" s="161" t="s">
        <v>324</v>
      </c>
      <c r="C101" s="150" t="s">
        <v>198</v>
      </c>
      <c r="D101" s="256">
        <f>'App 11_Yr1 Op Exp'!D153</f>
        <v>49484.012082674846</v>
      </c>
      <c r="E101" s="152">
        <f>'App 1_5Yr Revenue'!F22*'App 10_5Yr Op Exp'!F30</f>
        <v>179730.07140717917</v>
      </c>
      <c r="F101" s="152">
        <f>'App 1_5Yr Revenue'!G22*'App 10_5Yr Op Exp'!G30</f>
        <v>381207.48145462706</v>
      </c>
      <c r="G101" s="152">
        <f>'App 1_5Yr Revenue'!H22*'App 10_5Yr Op Exp'!H30</f>
        <v>667367.23086656712</v>
      </c>
      <c r="H101" s="153">
        <f>'App 1_5Yr Revenue'!I22*'App 10_5Yr Op Exp'!I30</f>
        <v>1095316.4676597535</v>
      </c>
      <c r="I101" s="628"/>
    </row>
    <row r="102" spans="1:36" s="20" customFormat="1">
      <c r="A102" s="215"/>
      <c r="B102" s="161" t="s">
        <v>325</v>
      </c>
      <c r="C102" s="150" t="s">
        <v>198</v>
      </c>
      <c r="D102" s="256">
        <f>'App 11_Yr1 Op Exp'!D154</f>
        <v>500</v>
      </c>
      <c r="E102" s="152">
        <f>F35*12</f>
        <v>12120</v>
      </c>
      <c r="F102" s="152">
        <f t="shared" ref="F102:H102" si="32">G35*12</f>
        <v>12241.2</v>
      </c>
      <c r="G102" s="152">
        <f t="shared" si="32"/>
        <v>12363.611999999999</v>
      </c>
      <c r="H102" s="153">
        <f t="shared" si="32"/>
        <v>12487.24812</v>
      </c>
      <c r="I102" s="628" t="s">
        <v>296</v>
      </c>
    </row>
    <row r="103" spans="1:36" s="20" customFormat="1">
      <c r="A103" s="215"/>
      <c r="B103" s="161" t="s">
        <v>326</v>
      </c>
      <c r="C103" s="150" t="s">
        <v>198</v>
      </c>
      <c r="D103" s="256">
        <f>'App 11_Yr1 Op Exp'!D155</f>
        <v>6000</v>
      </c>
      <c r="E103" s="152">
        <f t="shared" ref="E103:H104" si="33">F36*12</f>
        <v>1224</v>
      </c>
      <c r="F103" s="152">
        <f t="shared" si="33"/>
        <v>1248.48</v>
      </c>
      <c r="G103" s="152">
        <f t="shared" si="33"/>
        <v>1273.4495999999999</v>
      </c>
      <c r="H103" s="153">
        <f t="shared" si="33"/>
        <v>1298.918592</v>
      </c>
      <c r="I103" s="628" t="s">
        <v>296</v>
      </c>
    </row>
    <row r="104" spans="1:36" s="20" customFormat="1">
      <c r="A104" s="215"/>
      <c r="B104" s="161" t="s">
        <v>327</v>
      </c>
      <c r="C104" s="150" t="s">
        <v>198</v>
      </c>
      <c r="D104" s="256">
        <f>'App 11_Yr1 Op Exp'!D156</f>
        <v>12000</v>
      </c>
      <c r="E104" s="152">
        <f t="shared" si="33"/>
        <v>3600</v>
      </c>
      <c r="F104" s="152">
        <f t="shared" si="33"/>
        <v>3600</v>
      </c>
      <c r="G104" s="152">
        <f t="shared" si="33"/>
        <v>3600</v>
      </c>
      <c r="H104" s="153">
        <f t="shared" si="33"/>
        <v>3600</v>
      </c>
      <c r="I104" s="628" t="s">
        <v>296</v>
      </c>
    </row>
    <row r="105" spans="1:36" s="20" customFormat="1">
      <c r="A105" s="215"/>
      <c r="B105" s="161" t="s">
        <v>328</v>
      </c>
      <c r="C105" s="150" t="s">
        <v>198</v>
      </c>
      <c r="D105" s="256">
        <f>'App 11_Yr1 Op Exp'!D157</f>
        <v>49484.012082674846</v>
      </c>
      <c r="E105" s="152">
        <f>'App 1_5Yr Revenue'!F13*'App 10_5Yr Op Exp'!F31</f>
        <v>89865.035703589587</v>
      </c>
      <c r="F105" s="152">
        <f>'App 1_5Yr Revenue'!G13*'App 10_5Yr Op Exp'!G31</f>
        <v>127069.16048487567</v>
      </c>
      <c r="G105" s="152">
        <f>'App 1_5Yr Revenue'!H13*'App 10_5Yr Op Exp'!H31</f>
        <v>166841.80771664175</v>
      </c>
      <c r="H105" s="153">
        <f>'App 1_5Yr Revenue'!I13*'App 10_5Yr Op Exp'!I31</f>
        <v>219063.29353195065</v>
      </c>
      <c r="I105" s="628" t="s">
        <v>296</v>
      </c>
    </row>
    <row r="106" spans="1:36" s="20" customFormat="1">
      <c r="A106" s="215"/>
      <c r="B106" s="161"/>
      <c r="C106" s="150" t="s">
        <v>198</v>
      </c>
      <c r="D106" s="256"/>
      <c r="E106" s="152"/>
      <c r="F106" s="152"/>
      <c r="G106" s="152"/>
      <c r="H106" s="153"/>
      <c r="I106" s="628"/>
    </row>
    <row r="107" spans="1:36" s="20" customFormat="1">
      <c r="A107" s="215"/>
      <c r="B107" s="164" t="s">
        <v>234</v>
      </c>
      <c r="C107" s="165"/>
      <c r="D107" s="229">
        <f t="shared" ref="D107:H107" ca="1" si="34">SUM(D96:D106)</f>
        <v>841838.22416534973</v>
      </c>
      <c r="E107" s="257">
        <f t="shared" ca="1" si="34"/>
        <v>990780.94039187336</v>
      </c>
      <c r="F107" s="257">
        <f t="shared" ca="1" si="34"/>
        <v>1240625.9828366521</v>
      </c>
      <c r="G107" s="257">
        <f t="shared" ca="1" si="34"/>
        <v>1523655.0522105191</v>
      </c>
      <c r="H107" s="230">
        <f t="shared" ca="1" si="34"/>
        <v>1837646.1470919389</v>
      </c>
      <c r="I107" s="625"/>
    </row>
    <row r="108" spans="1:36" s="20" customFormat="1">
      <c r="A108" s="215"/>
      <c r="B108" s="154"/>
      <c r="C108" s="154"/>
      <c r="D108" s="231"/>
      <c r="E108" s="231"/>
      <c r="F108" s="231"/>
      <c r="G108" s="231"/>
      <c r="H108" s="231"/>
      <c r="I108" s="233"/>
    </row>
    <row r="109" spans="1:36" s="20" customFormat="1" ht="15.75">
      <c r="A109" s="215"/>
      <c r="B109" s="145" t="s">
        <v>329</v>
      </c>
      <c r="C109" s="146"/>
      <c r="D109" s="157"/>
      <c r="E109" s="157"/>
      <c r="F109" s="157"/>
      <c r="G109" s="157"/>
      <c r="H109" s="157"/>
      <c r="I109" s="255"/>
    </row>
    <row r="110" spans="1:36">
      <c r="A110" s="215"/>
      <c r="B110" s="151"/>
      <c r="C110" s="151"/>
      <c r="D110" s="151"/>
      <c r="E110" s="212"/>
      <c r="F110" s="151"/>
      <c r="G110" s="249"/>
      <c r="H110" s="171"/>
      <c r="I110" s="25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</row>
    <row r="111" spans="1:36" ht="15.75">
      <c r="A111" s="215"/>
      <c r="B111" s="145" t="s">
        <v>293</v>
      </c>
      <c r="C111" s="146"/>
      <c r="D111" s="146" t="s">
        <v>332</v>
      </c>
      <c r="E111" s="146"/>
      <c r="F111" s="146"/>
      <c r="G111" s="146"/>
      <c r="H111" s="146"/>
      <c r="I111" s="285" t="s">
        <v>160</v>
      </c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</row>
    <row r="112" spans="1:36">
      <c r="A112" s="215"/>
      <c r="B112" s="147" t="s">
        <v>294</v>
      </c>
      <c r="C112" s="148"/>
      <c r="D112" s="67" t="s">
        <v>29</v>
      </c>
      <c r="E112" s="67" t="s">
        <v>30</v>
      </c>
      <c r="F112" s="67" t="s">
        <v>31</v>
      </c>
      <c r="G112" s="67" t="s">
        <v>32</v>
      </c>
      <c r="H112" s="67" t="s">
        <v>33</v>
      </c>
      <c r="I112" s="181" t="s">
        <v>101</v>
      </c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</row>
    <row r="113" spans="1:36">
      <c r="A113" s="215"/>
      <c r="B113" s="147"/>
      <c r="C113" s="148"/>
      <c r="D113" s="67">
        <v>41821</v>
      </c>
      <c r="E113" s="67">
        <v>42186</v>
      </c>
      <c r="F113" s="67">
        <v>42552</v>
      </c>
      <c r="G113" s="67">
        <v>42917</v>
      </c>
      <c r="H113" s="246">
        <v>43282</v>
      </c>
      <c r="I113" s="181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20"/>
      <c r="AH113" s="20"/>
      <c r="AI113" s="20"/>
      <c r="AJ113" s="20"/>
    </row>
    <row r="114" spans="1:36">
      <c r="A114" s="215"/>
      <c r="B114" s="225" t="s">
        <v>275</v>
      </c>
      <c r="C114" s="189"/>
      <c r="D114" s="193"/>
      <c r="E114" s="194"/>
      <c r="F114" s="194"/>
      <c r="G114" s="194"/>
      <c r="H114" s="192"/>
      <c r="I114" s="622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20"/>
      <c r="AH114" s="20"/>
      <c r="AI114" s="20"/>
      <c r="AJ114" s="20"/>
    </row>
    <row r="115" spans="1:36">
      <c r="A115" s="215"/>
      <c r="B115" s="161" t="s">
        <v>299</v>
      </c>
      <c r="C115" s="150"/>
      <c r="D115" s="190">
        <f>'App 11_Yr1 Op Exp'!E113</f>
        <v>793</v>
      </c>
      <c r="E115" s="191">
        <f>12*'App 8_5Yr Headcount'!G$20</f>
        <v>960</v>
      </c>
      <c r="F115" s="191">
        <f>12*'App 8_5Yr Headcount'!H$20</f>
        <v>1584</v>
      </c>
      <c r="G115" s="191">
        <f>12*'App 8_5Yr Headcount'!I$20</f>
        <v>1680</v>
      </c>
      <c r="H115" s="192">
        <f>12*'App 8_5Yr Headcount'!J$20</f>
        <v>1740</v>
      </c>
      <c r="I115" s="623" t="s">
        <v>300</v>
      </c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20"/>
      <c r="AI115" s="20"/>
      <c r="AJ115" s="20"/>
    </row>
    <row r="116" spans="1:36">
      <c r="A116" s="215"/>
      <c r="B116" s="161" t="s">
        <v>301</v>
      </c>
      <c r="C116" s="150"/>
      <c r="D116" s="190">
        <f>'App 11_Yr1 Op Exp'!E114</f>
        <v>793</v>
      </c>
      <c r="E116" s="191">
        <f>12*'App 8_5Yr Headcount'!G$20</f>
        <v>960</v>
      </c>
      <c r="F116" s="191">
        <f>12*'App 8_5Yr Headcount'!H$20</f>
        <v>1584</v>
      </c>
      <c r="G116" s="191">
        <f>12*'App 8_5Yr Headcount'!I$20</f>
        <v>1680</v>
      </c>
      <c r="H116" s="192">
        <f>12*'App 8_5Yr Headcount'!J$20</f>
        <v>1740</v>
      </c>
      <c r="I116" s="623" t="s">
        <v>300</v>
      </c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20"/>
      <c r="AH116" s="20"/>
      <c r="AI116" s="20"/>
      <c r="AJ116" s="20"/>
    </row>
    <row r="117" spans="1:36">
      <c r="A117" s="215"/>
      <c r="B117" s="161"/>
      <c r="C117" s="150" t="s">
        <v>276</v>
      </c>
      <c r="D117" s="190"/>
      <c r="E117" s="191"/>
      <c r="F117" s="191"/>
      <c r="G117" s="191"/>
      <c r="H117" s="192"/>
      <c r="I117" s="624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  <c r="AH117" s="20"/>
      <c r="AI117" s="20"/>
      <c r="AJ117" s="20"/>
    </row>
    <row r="118" spans="1:36">
      <c r="A118" s="215"/>
      <c r="B118" s="164" t="s">
        <v>234</v>
      </c>
      <c r="C118" s="165"/>
      <c r="D118" s="234">
        <f>SUM(D115:D117)</f>
        <v>1586</v>
      </c>
      <c r="E118" s="235">
        <f>SUM(E115:E117)</f>
        <v>1920</v>
      </c>
      <c r="F118" s="235">
        <f>SUM(F115:F117)</f>
        <v>3168</v>
      </c>
      <c r="G118" s="235">
        <f>SUM(G115:G117)</f>
        <v>3360</v>
      </c>
      <c r="H118" s="236">
        <f>SUM(H115:H117)</f>
        <v>3480</v>
      </c>
      <c r="I118" s="625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20"/>
      <c r="AH118" s="20"/>
      <c r="AI118" s="20"/>
      <c r="AJ118" s="20"/>
    </row>
    <row r="119" spans="1:36" s="20" customFormat="1">
      <c r="A119" s="215"/>
      <c r="B119" s="151"/>
      <c r="C119" s="151"/>
      <c r="D119" s="247"/>
      <c r="E119" s="247"/>
      <c r="F119" s="247"/>
      <c r="G119" s="247"/>
      <c r="H119" s="247"/>
      <c r="I119" s="626"/>
    </row>
    <row r="120" spans="1:36" s="20" customFormat="1">
      <c r="A120" s="215"/>
      <c r="B120" s="225" t="s">
        <v>276</v>
      </c>
      <c r="C120" s="189"/>
      <c r="D120" s="193"/>
      <c r="E120" s="194"/>
      <c r="F120" s="194"/>
      <c r="G120" s="194"/>
      <c r="H120" s="195"/>
      <c r="I120" s="627"/>
    </row>
    <row r="121" spans="1:36" s="20" customFormat="1">
      <c r="A121" s="215"/>
      <c r="B121" s="161" t="s">
        <v>306</v>
      </c>
      <c r="C121" s="150" t="s">
        <v>276</v>
      </c>
      <c r="D121" s="190">
        <v>1</v>
      </c>
      <c r="E121" s="191">
        <v>1</v>
      </c>
      <c r="F121" s="191">
        <v>1</v>
      </c>
      <c r="G121" s="191">
        <v>1</v>
      </c>
      <c r="H121" s="192">
        <v>1</v>
      </c>
      <c r="I121" s="628" t="s">
        <v>364</v>
      </c>
    </row>
    <row r="122" spans="1:36" s="20" customFormat="1">
      <c r="A122" s="215"/>
      <c r="B122" s="161" t="s">
        <v>286</v>
      </c>
      <c r="C122" s="150" t="s">
        <v>276</v>
      </c>
      <c r="D122" s="190">
        <f>'App 11_Yr1 Op Exp'!E122</f>
        <v>793</v>
      </c>
      <c r="E122" s="191">
        <f>12*'App 8_5Yr Headcount'!G$20</f>
        <v>960</v>
      </c>
      <c r="F122" s="191">
        <f>12*'App 8_5Yr Headcount'!H$20</f>
        <v>1584</v>
      </c>
      <c r="G122" s="191">
        <f>12*'App 8_5Yr Headcount'!I$20</f>
        <v>1680</v>
      </c>
      <c r="H122" s="192">
        <f>12*'App 8_5Yr Headcount'!J$20</f>
        <v>1740</v>
      </c>
      <c r="I122" s="628" t="s">
        <v>300</v>
      </c>
    </row>
    <row r="123" spans="1:36" s="20" customFormat="1">
      <c r="A123" s="215"/>
      <c r="B123" s="161"/>
      <c r="C123" s="150" t="s">
        <v>276</v>
      </c>
      <c r="D123" s="190"/>
      <c r="E123" s="191"/>
      <c r="F123" s="191"/>
      <c r="G123" s="191"/>
      <c r="H123" s="192"/>
      <c r="I123" s="628"/>
    </row>
    <row r="124" spans="1:36" s="20" customFormat="1">
      <c r="A124" s="215"/>
      <c r="B124" s="164" t="s">
        <v>234</v>
      </c>
      <c r="C124" s="165"/>
      <c r="D124" s="234">
        <f>SUM(D121:D123)</f>
        <v>794</v>
      </c>
      <c r="E124" s="235">
        <f>SUM(E121:E123)</f>
        <v>961</v>
      </c>
      <c r="F124" s="235">
        <f>SUM(F121:F123)</f>
        <v>1585</v>
      </c>
      <c r="G124" s="235">
        <f>SUM(G121:G123)</f>
        <v>1681</v>
      </c>
      <c r="H124" s="236">
        <f>SUM(H121:H123)</f>
        <v>1741</v>
      </c>
      <c r="I124" s="625"/>
    </row>
    <row r="125" spans="1:36" s="20" customFormat="1">
      <c r="A125" s="215"/>
      <c r="B125" s="151"/>
      <c r="C125" s="151"/>
      <c r="D125" s="191"/>
      <c r="E125" s="191"/>
      <c r="F125" s="191"/>
      <c r="G125" s="191"/>
      <c r="H125" s="191"/>
      <c r="I125" s="629"/>
    </row>
    <row r="126" spans="1:36" s="20" customFormat="1">
      <c r="A126" s="215"/>
      <c r="D126" s="196"/>
      <c r="E126" s="196"/>
      <c r="F126" s="196"/>
      <c r="G126" s="196"/>
      <c r="H126" s="196"/>
      <c r="I126" s="630"/>
    </row>
    <row r="127" spans="1:36" s="20" customFormat="1">
      <c r="A127" s="215"/>
      <c r="B127" s="225" t="s">
        <v>278</v>
      </c>
      <c r="C127" s="150"/>
      <c r="D127" s="193"/>
      <c r="E127" s="194"/>
      <c r="F127" s="194"/>
      <c r="G127" s="194"/>
      <c r="H127" s="195"/>
      <c r="I127" s="627"/>
    </row>
    <row r="128" spans="1:36" s="20" customFormat="1">
      <c r="A128" s="215"/>
      <c r="B128" s="161" t="s">
        <v>181</v>
      </c>
      <c r="C128" s="150" t="s">
        <v>278</v>
      </c>
      <c r="D128" s="190">
        <f>'App 8_5Yr Headcount'!F131</f>
        <v>12</v>
      </c>
      <c r="E128" s="191">
        <f>'App 8_5Yr Headcount'!G131</f>
        <v>13</v>
      </c>
      <c r="F128" s="191">
        <f>'App 8_5Yr Headcount'!H131</f>
        <v>26</v>
      </c>
      <c r="G128" s="191">
        <f>'App 8_5Yr Headcount'!I131</f>
        <v>26</v>
      </c>
      <c r="H128" s="192">
        <f>'App 8_5Yr Headcount'!J131</f>
        <v>26</v>
      </c>
      <c r="I128" s="628" t="str">
        <f>B128</f>
        <v>Doctors</v>
      </c>
    </row>
    <row r="129" spans="1:9" s="20" customFormat="1">
      <c r="A129" s="215"/>
      <c r="B129" s="161" t="s">
        <v>315</v>
      </c>
      <c r="C129" s="150" t="s">
        <v>278</v>
      </c>
      <c r="D129" s="190">
        <f>SUM('App 8_5Yr Headcount'!F132:F133)</f>
        <v>24</v>
      </c>
      <c r="E129" s="191">
        <f>SUM('App 8_5Yr Headcount'!G132:G133)</f>
        <v>25</v>
      </c>
      <c r="F129" s="191">
        <f>SUM('App 8_5Yr Headcount'!H132:H133)</f>
        <v>43</v>
      </c>
      <c r="G129" s="191">
        <f>SUM('App 8_5Yr Headcount'!I132:I133)</f>
        <v>48</v>
      </c>
      <c r="H129" s="192">
        <f>SUM('App 8_5Yr Headcount'!J132:J133)</f>
        <v>53</v>
      </c>
      <c r="I129" s="628" t="str">
        <f>B129</f>
        <v>Technicians/Nurses</v>
      </c>
    </row>
    <row r="130" spans="1:9" s="20" customFormat="1">
      <c r="A130" s="215"/>
      <c r="B130" s="161" t="s">
        <v>350</v>
      </c>
      <c r="C130" s="150" t="s">
        <v>278</v>
      </c>
      <c r="D130" s="190">
        <f>'App 8_5Yr Headcount'!F134</f>
        <v>26</v>
      </c>
      <c r="E130" s="191">
        <f>'App 8_5Yr Headcount'!G134</f>
        <v>27</v>
      </c>
      <c r="F130" s="191">
        <f>'App 8_5Yr Headcount'!H134</f>
        <v>41</v>
      </c>
      <c r="G130" s="191">
        <f>'App 8_5Yr Headcount'!I134</f>
        <v>41</v>
      </c>
      <c r="H130" s="192">
        <f>'App 8_5Yr Headcount'!J134</f>
        <v>41</v>
      </c>
      <c r="I130" s="628" t="s">
        <v>237</v>
      </c>
    </row>
    <row r="131" spans="1:9" s="20" customFormat="1">
      <c r="A131" s="215"/>
      <c r="B131" s="161"/>
      <c r="C131" s="150" t="s">
        <v>278</v>
      </c>
      <c r="D131" s="190"/>
      <c r="E131" s="191"/>
      <c r="F131" s="191"/>
      <c r="G131" s="191"/>
      <c r="H131" s="192"/>
      <c r="I131" s="628"/>
    </row>
    <row r="132" spans="1:9" s="20" customFormat="1">
      <c r="A132" s="215"/>
      <c r="B132" s="164" t="s">
        <v>234</v>
      </c>
      <c r="C132" s="165"/>
      <c r="D132" s="234">
        <f t="shared" ref="D132:H132" si="35">SUM(D128:D131)</f>
        <v>62</v>
      </c>
      <c r="E132" s="235">
        <f t="shared" si="35"/>
        <v>65</v>
      </c>
      <c r="F132" s="235">
        <f t="shared" si="35"/>
        <v>110</v>
      </c>
      <c r="G132" s="235">
        <f t="shared" si="35"/>
        <v>115</v>
      </c>
      <c r="H132" s="236">
        <f t="shared" si="35"/>
        <v>120</v>
      </c>
      <c r="I132" s="625"/>
    </row>
    <row r="133" spans="1:9" s="20" customFormat="1">
      <c r="A133" s="215"/>
      <c r="D133" s="196"/>
      <c r="E133" s="196"/>
      <c r="F133" s="196"/>
      <c r="G133" s="196"/>
      <c r="H133" s="196"/>
      <c r="I133" s="630"/>
    </row>
    <row r="134" spans="1:9" s="20" customFormat="1"/>
    <row r="135" spans="1:9" s="20" customFormat="1"/>
    <row r="136" spans="1:9" s="20" customFormat="1"/>
    <row r="137" spans="1:9" s="20" customFormat="1"/>
    <row r="138" spans="1:9" s="20" customFormat="1"/>
    <row r="139" spans="1:9" s="20" customFormat="1"/>
    <row r="140" spans="1:9" s="20" customFormat="1"/>
    <row r="141" spans="1:9" s="20" customFormat="1"/>
    <row r="142" spans="1:9" s="20" customFormat="1"/>
  </sheetData>
  <mergeCells count="1">
    <mergeCell ref="G17:I17"/>
  </mergeCells>
  <pageMargins left="0.7" right="0.7" top="0.75" bottom="0.75" header="0.3" footer="0.3"/>
  <pageSetup paperSize="0" orientation="portrait" horizontalDpi="0" verticalDpi="0" copies="0"/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rgb="FF0070C0"/>
  </sheetPr>
  <dimension ref="A1:AP737"/>
  <sheetViews>
    <sheetView topLeftCell="I1" zoomScale="85" zoomScaleNormal="85" workbookViewId="0">
      <selection activeCell="B99" sqref="B99"/>
    </sheetView>
  </sheetViews>
  <sheetFormatPr defaultRowHeight="15" outlineLevelRow="1"/>
  <cols>
    <col min="1" max="1" width="5" style="237" customWidth="1"/>
    <col min="2" max="2" width="45.28515625" bestFit="1" customWidth="1"/>
    <col min="3" max="3" width="8.140625" hidden="1" customWidth="1"/>
    <col min="4" max="4" width="12.7109375" bestFit="1" customWidth="1"/>
    <col min="5" max="5" width="17.42578125" bestFit="1" customWidth="1"/>
    <col min="6" max="6" width="18.5703125" style="238" bestFit="1" customWidth="1"/>
    <col min="7" max="7" width="13.85546875" style="144" customWidth="1"/>
    <col min="8" max="8" width="11.42578125" style="188" customWidth="1"/>
    <col min="9" max="9" width="9.42578125" style="188" customWidth="1"/>
    <col min="10" max="10" width="11.140625" customWidth="1"/>
    <col min="11" max="19" width="11" customWidth="1"/>
    <col min="20" max="20" width="8" style="20" bestFit="1" customWidth="1"/>
    <col min="21" max="21" width="14.85546875" style="20" bestFit="1" customWidth="1"/>
  </cols>
  <sheetData>
    <row r="1" spans="1:42">
      <c r="A1" s="215"/>
      <c r="B1" s="20"/>
      <c r="C1" s="20"/>
      <c r="D1" s="20"/>
      <c r="E1" s="20"/>
      <c r="F1" s="216"/>
      <c r="G1" s="128"/>
      <c r="H1" s="158"/>
      <c r="I1" s="158"/>
      <c r="J1" s="20"/>
      <c r="K1" s="20"/>
      <c r="L1" s="20"/>
      <c r="M1" s="20"/>
      <c r="N1" s="20"/>
      <c r="O1" s="20"/>
      <c r="P1" s="20"/>
      <c r="Q1" s="20"/>
      <c r="R1" s="20"/>
      <c r="S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</row>
    <row r="2" spans="1:42" ht="19.5">
      <c r="A2" s="215"/>
      <c r="B2" s="1" t="s">
        <v>1671</v>
      </c>
      <c r="C2" s="1"/>
      <c r="D2" s="1"/>
      <c r="E2" s="1"/>
      <c r="F2" s="217"/>
      <c r="G2" s="130"/>
      <c r="H2" s="178"/>
      <c r="I2" s="158"/>
      <c r="J2" s="2"/>
      <c r="K2" s="20"/>
      <c r="L2" s="20"/>
      <c r="M2" s="20"/>
      <c r="N2" s="20"/>
      <c r="O2" s="20"/>
      <c r="P2" s="20"/>
      <c r="Q2" s="20"/>
      <c r="R2" s="20"/>
      <c r="S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</row>
    <row r="3" spans="1:42">
      <c r="A3" s="215"/>
      <c r="B3" s="24" t="s">
        <v>103</v>
      </c>
      <c r="C3" s="3"/>
      <c r="D3" s="3"/>
      <c r="E3" s="3"/>
      <c r="F3" s="217"/>
      <c r="G3" s="130"/>
      <c r="H3" s="178"/>
      <c r="I3" s="158"/>
      <c r="J3" s="2"/>
      <c r="K3" s="20"/>
      <c r="L3" s="20"/>
      <c r="M3" s="20"/>
      <c r="N3" s="20"/>
      <c r="O3" s="20"/>
      <c r="P3" s="20"/>
      <c r="Q3" s="20"/>
      <c r="R3" s="20"/>
      <c r="S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</row>
    <row r="4" spans="1:42" s="333" customFormat="1" ht="12.75">
      <c r="A4" s="331"/>
      <c r="B4" s="25"/>
      <c r="C4" s="25"/>
      <c r="D4" s="25"/>
      <c r="E4" s="25"/>
      <c r="F4" s="216"/>
      <c r="G4" s="128"/>
      <c r="H4" s="332"/>
      <c r="I4" s="332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</row>
    <row r="5" spans="1:42" s="333" customFormat="1" ht="12.75">
      <c r="A5" s="331"/>
      <c r="B5" s="38" t="s">
        <v>206</v>
      </c>
      <c r="C5" s="39"/>
      <c r="D5" s="39"/>
      <c r="E5" s="39"/>
      <c r="F5" s="334"/>
      <c r="G5" s="128"/>
      <c r="H5" s="332"/>
      <c r="I5" s="335"/>
      <c r="J5" s="336"/>
      <c r="K5" s="336"/>
      <c r="L5" s="336"/>
      <c r="M5" s="336"/>
      <c r="N5" s="336"/>
      <c r="O5" s="336"/>
      <c r="P5" s="336"/>
      <c r="Q5" s="336"/>
      <c r="R5" s="336"/>
      <c r="S5" s="336"/>
      <c r="T5" s="336"/>
      <c r="U5" s="336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</row>
    <row r="6" spans="1:42" s="333" customFormat="1" ht="12.75">
      <c r="A6" s="331"/>
      <c r="B6" s="42" t="s">
        <v>273</v>
      </c>
      <c r="C6" s="43"/>
      <c r="D6" s="43" t="s">
        <v>274</v>
      </c>
      <c r="E6" s="43"/>
      <c r="F6" s="337" t="s">
        <v>236</v>
      </c>
      <c r="G6" s="128"/>
      <c r="H6" s="332"/>
      <c r="I6" s="332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</row>
    <row r="7" spans="1:42" s="333" customFormat="1" ht="12.75">
      <c r="A7" s="331"/>
      <c r="B7" s="42"/>
      <c r="C7" s="43"/>
      <c r="D7" s="43" t="s">
        <v>71</v>
      </c>
      <c r="E7" s="354" t="s">
        <v>114</v>
      </c>
      <c r="F7" s="337" t="s">
        <v>238</v>
      </c>
      <c r="G7" s="128"/>
      <c r="H7" s="332"/>
      <c r="I7" s="332"/>
      <c r="J7" s="338"/>
      <c r="K7" s="338"/>
      <c r="L7" s="338"/>
      <c r="M7" s="338"/>
      <c r="N7" s="338"/>
      <c r="O7" s="338"/>
      <c r="P7" s="338"/>
      <c r="Q7" s="338"/>
      <c r="R7" s="338"/>
      <c r="S7" s="338"/>
      <c r="T7" s="338"/>
      <c r="U7" s="338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</row>
    <row r="8" spans="1:42" s="333" customFormat="1" ht="12.75">
      <c r="A8" s="331"/>
      <c r="B8" s="339" t="s">
        <v>275</v>
      </c>
      <c r="C8" s="48"/>
      <c r="D8" s="340">
        <f>SUMIF($C$51:$C$101,B8,$D$51:$D$101)</f>
        <v>73402.006041337416</v>
      </c>
      <c r="E8" s="110">
        <f t="shared" ref="E8:E13" ca="1" si="0">D8/$D$14</f>
        <v>7.4533488322234775E-2</v>
      </c>
      <c r="F8" s="341"/>
      <c r="G8" s="128"/>
      <c r="H8" s="332"/>
      <c r="I8" s="332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</row>
    <row r="9" spans="1:42" s="333" customFormat="1" ht="12.75">
      <c r="A9" s="331"/>
      <c r="B9" s="339" t="s">
        <v>276</v>
      </c>
      <c r="C9" s="48"/>
      <c r="D9" s="340">
        <f t="shared" ref="D9:D13" si="1">SUMIF($C$51:$C$101,B9,$D$51:$D$101)</f>
        <v>327414.01208267483</v>
      </c>
      <c r="E9" s="110">
        <f t="shared" ca="1" si="0"/>
        <v>0.33246105606918969</v>
      </c>
      <c r="F9" s="341"/>
      <c r="G9" s="128"/>
      <c r="H9" s="332"/>
      <c r="I9" s="332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</row>
    <row r="10" spans="1:42" s="333" customFormat="1" ht="12.75">
      <c r="A10" s="331"/>
      <c r="B10" s="339" t="s">
        <v>277</v>
      </c>
      <c r="C10" s="48"/>
      <c r="D10" s="340">
        <f t="shared" si="1"/>
        <v>97500</v>
      </c>
      <c r="E10" s="110">
        <f t="shared" ca="1" si="0"/>
        <v>9.900294969221092E-2</v>
      </c>
      <c r="F10" s="341"/>
      <c r="G10" s="128"/>
      <c r="H10" s="332"/>
      <c r="I10" s="332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</row>
    <row r="11" spans="1:42" s="333" customFormat="1" ht="12.75">
      <c r="A11" s="331"/>
      <c r="B11" s="339" t="s">
        <v>278</v>
      </c>
      <c r="C11" s="48"/>
      <c r="D11" s="340">
        <f t="shared" si="1"/>
        <v>6850</v>
      </c>
      <c r="E11" s="110">
        <f t="shared" ca="1" si="0"/>
        <v>6.9555918501707165E-3</v>
      </c>
      <c r="F11" s="341"/>
      <c r="G11" s="128"/>
      <c r="H11" s="332"/>
      <c r="I11" s="332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</row>
    <row r="12" spans="1:42" s="333" customFormat="1" ht="12.75">
      <c r="A12" s="331"/>
      <c r="B12" s="339" t="s">
        <v>279</v>
      </c>
      <c r="C12" s="48"/>
      <c r="D12" s="340">
        <f t="shared" ca="1" si="1"/>
        <v>362185.09999999992</v>
      </c>
      <c r="E12" s="110">
        <f t="shared" ca="1" si="0"/>
        <v>0.36776813573916284</v>
      </c>
      <c r="F12" s="341"/>
      <c r="G12" s="128"/>
      <c r="H12" s="332"/>
      <c r="I12" s="332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</row>
    <row r="13" spans="1:42" s="333" customFormat="1" ht="12.75">
      <c r="A13" s="331"/>
      <c r="B13" s="339" t="s">
        <v>198</v>
      </c>
      <c r="C13" s="48"/>
      <c r="D13" s="340">
        <f t="shared" si="1"/>
        <v>117468.02416534966</v>
      </c>
      <c r="E13" s="110">
        <f t="shared" ca="1" si="0"/>
        <v>0.11927877832703107</v>
      </c>
      <c r="F13" s="341"/>
      <c r="G13" s="128"/>
      <c r="H13" s="332"/>
      <c r="I13" s="332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</row>
    <row r="14" spans="1:42" s="333" customFormat="1" ht="12.75">
      <c r="A14" s="331"/>
      <c r="B14" s="342" t="s">
        <v>239</v>
      </c>
      <c r="C14" s="343"/>
      <c r="D14" s="344">
        <f ca="1">SUM(D8:D13)</f>
        <v>984819.1422893618</v>
      </c>
      <c r="E14" s="345">
        <f ca="1">SUM(E8:E13)</f>
        <v>1</v>
      </c>
      <c r="F14" s="346"/>
      <c r="G14" s="128"/>
      <c r="H14" s="332"/>
      <c r="I14" s="332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</row>
    <row r="15" spans="1:42" s="333" customFormat="1" ht="12.75">
      <c r="A15" s="331"/>
      <c r="B15" s="26"/>
      <c r="C15" s="26"/>
      <c r="D15" s="26"/>
      <c r="E15" s="26"/>
      <c r="F15" s="347"/>
      <c r="G15" s="633"/>
      <c r="H15" s="332"/>
      <c r="I15" s="332"/>
      <c r="J15" s="25"/>
      <c r="K15" s="25"/>
      <c r="L15" s="25"/>
      <c r="M15" s="634"/>
      <c r="N15" s="12"/>
      <c r="O15" s="635"/>
      <c r="P15" s="636"/>
      <c r="Q15" s="637"/>
      <c r="R15" s="637"/>
      <c r="S15" s="634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</row>
    <row r="16" spans="1:42" s="333" customFormat="1" ht="12.75" outlineLevel="1">
      <c r="A16" s="331"/>
      <c r="B16" s="38" t="s">
        <v>11</v>
      </c>
      <c r="C16" s="39"/>
      <c r="D16" s="39"/>
      <c r="E16" s="39"/>
      <c r="F16" s="638"/>
      <c r="G16" s="639"/>
      <c r="H16" s="639"/>
      <c r="I16" s="639"/>
      <c r="J16" s="25"/>
      <c r="K16" s="25"/>
      <c r="L16" s="25"/>
      <c r="M16" s="634"/>
      <c r="N16" s="12"/>
      <c r="O16" s="635"/>
      <c r="P16" s="636"/>
      <c r="Q16" s="636"/>
      <c r="R16" s="636"/>
      <c r="S16" s="634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</row>
    <row r="17" spans="1:42" s="333" customFormat="1" ht="12.75" outlineLevel="1">
      <c r="A17" s="331"/>
      <c r="B17" s="42"/>
      <c r="C17" s="43"/>
      <c r="D17" s="43"/>
      <c r="E17" s="43"/>
      <c r="F17" s="337"/>
      <c r="G17" s="640"/>
      <c r="H17" s="640"/>
      <c r="I17" s="641"/>
      <c r="J17" s="25"/>
      <c r="K17" s="25"/>
      <c r="L17" s="25"/>
      <c r="M17" s="634"/>
      <c r="N17" s="12"/>
      <c r="O17" s="635"/>
      <c r="P17" s="636"/>
      <c r="Q17" s="637"/>
      <c r="R17" s="637"/>
      <c r="S17" s="634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</row>
    <row r="18" spans="1:42" s="333" customFormat="1" ht="12.75" outlineLevel="1">
      <c r="A18" s="331"/>
      <c r="B18" s="42"/>
      <c r="C18" s="43"/>
      <c r="D18" s="354" t="s">
        <v>71</v>
      </c>
      <c r="E18" s="354" t="s">
        <v>101</v>
      </c>
      <c r="F18" s="465" t="s">
        <v>236</v>
      </c>
      <c r="G18" s="640"/>
      <c r="H18" s="640"/>
      <c r="I18" s="641"/>
      <c r="J18" s="25"/>
      <c r="K18" s="25"/>
      <c r="L18" s="25"/>
      <c r="M18" s="634"/>
      <c r="N18" s="12"/>
      <c r="O18" s="635"/>
      <c r="P18" s="636"/>
      <c r="Q18" s="637"/>
      <c r="R18" s="637"/>
      <c r="S18" s="634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</row>
    <row r="19" spans="1:42" s="333" customFormat="1" ht="18.75" customHeight="1" outlineLevel="1">
      <c r="A19" s="331"/>
      <c r="B19" s="587" t="s">
        <v>280</v>
      </c>
      <c r="C19" s="455"/>
      <c r="D19" s="516">
        <f>'App 10_5Yr Op Exp'!E20</f>
        <v>1500</v>
      </c>
      <c r="E19" s="587" t="s">
        <v>281</v>
      </c>
      <c r="F19" s="642" t="s">
        <v>282</v>
      </c>
      <c r="G19" s="340"/>
      <c r="H19" s="51"/>
      <c r="I19" s="643"/>
      <c r="J19" s="25"/>
      <c r="K19" s="25"/>
      <c r="L19" s="25"/>
      <c r="M19" s="634"/>
      <c r="N19" s="12"/>
      <c r="O19" s="635"/>
      <c r="P19" s="636"/>
      <c r="Q19" s="636"/>
      <c r="R19" s="636"/>
      <c r="S19" s="634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</row>
    <row r="20" spans="1:42" s="333" customFormat="1" ht="12.75" outlineLevel="1">
      <c r="A20" s="331"/>
      <c r="B20" s="339" t="s">
        <v>283</v>
      </c>
      <c r="C20" s="48"/>
      <c r="D20" s="372">
        <f>'App 10_5Yr Op Exp'!E21</f>
        <v>15</v>
      </c>
      <c r="E20" s="339" t="s">
        <v>284</v>
      </c>
      <c r="F20" s="644" t="s">
        <v>285</v>
      </c>
      <c r="G20" s="340"/>
      <c r="H20" s="51"/>
      <c r="I20" s="643"/>
      <c r="J20" s="25"/>
      <c r="K20" s="25"/>
      <c r="L20" s="25"/>
      <c r="M20" s="634"/>
      <c r="N20" s="12"/>
      <c r="O20" s="635"/>
      <c r="P20" s="636"/>
      <c r="Q20" s="645"/>
      <c r="R20" s="637"/>
      <c r="S20" s="634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</row>
    <row r="21" spans="1:42" s="333" customFormat="1" ht="12.75" outlineLevel="1">
      <c r="A21" s="331"/>
      <c r="B21" s="339" t="s">
        <v>286</v>
      </c>
      <c r="C21" s="48"/>
      <c r="D21" s="372">
        <f>'App 10_5Yr Op Exp'!E22</f>
        <v>10</v>
      </c>
      <c r="E21" s="339" t="s">
        <v>71</v>
      </c>
      <c r="F21" s="644" t="s">
        <v>287</v>
      </c>
      <c r="G21" s="340"/>
      <c r="H21" s="51"/>
      <c r="I21" s="643"/>
      <c r="J21" s="25"/>
      <c r="K21" s="25"/>
      <c r="L21" s="25"/>
      <c r="M21" s="634"/>
      <c r="N21" s="12"/>
      <c r="O21" s="635"/>
      <c r="P21" s="636"/>
      <c r="Q21" s="645"/>
      <c r="R21" s="637"/>
      <c r="S21" s="634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</row>
    <row r="22" spans="1:42" s="333" customFormat="1" ht="12.75" outlineLevel="1">
      <c r="A22" s="331"/>
      <c r="B22" s="339" t="s">
        <v>299</v>
      </c>
      <c r="C22" s="48"/>
      <c r="D22" s="372">
        <f>'App 10_5Yr Op Exp'!E23</f>
        <v>10</v>
      </c>
      <c r="E22" s="339" t="s">
        <v>71</v>
      </c>
      <c r="F22" s="644" t="s">
        <v>287</v>
      </c>
      <c r="G22" s="340"/>
      <c r="H22" s="51"/>
      <c r="I22" s="643"/>
      <c r="J22" s="25"/>
      <c r="K22" s="25"/>
      <c r="L22" s="25"/>
      <c r="M22" s="634"/>
      <c r="N22" s="12"/>
      <c r="O22" s="635"/>
      <c r="P22" s="636"/>
      <c r="Q22" s="645"/>
      <c r="R22" s="637"/>
      <c r="S22" s="634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</row>
    <row r="23" spans="1:42" s="333" customFormat="1" ht="12.75" outlineLevel="1">
      <c r="A23" s="331"/>
      <c r="B23" s="339" t="s">
        <v>301</v>
      </c>
      <c r="C23" s="48"/>
      <c r="D23" s="372">
        <f>'App 10_5Yr Op Exp'!E24</f>
        <v>10</v>
      </c>
      <c r="E23" s="339" t="s">
        <v>71</v>
      </c>
      <c r="F23" s="644" t="s">
        <v>287</v>
      </c>
      <c r="G23" s="340"/>
      <c r="H23" s="51"/>
      <c r="I23" s="643"/>
      <c r="J23" s="25"/>
      <c r="K23" s="25"/>
      <c r="L23" s="25"/>
      <c r="M23" s="634"/>
      <c r="N23" s="12"/>
      <c r="O23" s="635"/>
      <c r="P23" s="636"/>
      <c r="Q23" s="645"/>
      <c r="R23" s="637"/>
      <c r="S23" s="634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</row>
    <row r="24" spans="1:42" s="333" customFormat="1" ht="12.75" outlineLevel="1">
      <c r="A24" s="331"/>
      <c r="B24" s="339" t="s">
        <v>333</v>
      </c>
      <c r="C24" s="48"/>
      <c r="D24" s="372">
        <f>'App 10_5Yr Op Exp'!E25</f>
        <v>10</v>
      </c>
      <c r="E24" s="339" t="s">
        <v>348</v>
      </c>
      <c r="F24" s="644" t="s">
        <v>181</v>
      </c>
      <c r="G24" s="340"/>
      <c r="H24" s="51"/>
      <c r="I24" s="643"/>
      <c r="J24" s="25"/>
      <c r="K24" s="25"/>
      <c r="L24" s="25"/>
      <c r="M24" s="634"/>
      <c r="N24" s="12"/>
      <c r="O24" s="635"/>
      <c r="P24" s="636"/>
      <c r="Q24" s="637"/>
      <c r="R24" s="637"/>
      <c r="S24" s="634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</row>
    <row r="25" spans="1:42" s="333" customFormat="1" ht="12.75" outlineLevel="1">
      <c r="A25" s="331"/>
      <c r="B25" s="339" t="s">
        <v>334</v>
      </c>
      <c r="C25" s="48"/>
      <c r="D25" s="372">
        <f>'App 10_5Yr Op Exp'!E26</f>
        <v>10</v>
      </c>
      <c r="E25" s="339" t="s">
        <v>348</v>
      </c>
      <c r="F25" s="644" t="s">
        <v>315</v>
      </c>
      <c r="G25" s="340"/>
      <c r="H25" s="51"/>
      <c r="I25" s="643"/>
      <c r="J25" s="25"/>
      <c r="K25" s="25"/>
      <c r="L25" s="25"/>
      <c r="M25" s="634"/>
      <c r="N25" s="12"/>
      <c r="O25" s="635"/>
      <c r="P25" s="636"/>
      <c r="Q25" s="637"/>
      <c r="R25" s="637"/>
      <c r="S25" s="634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</row>
    <row r="26" spans="1:42" s="333" customFormat="1" ht="12.75" outlineLevel="1">
      <c r="A26" s="331"/>
      <c r="B26" s="339" t="s">
        <v>347</v>
      </c>
      <c r="C26" s="48"/>
      <c r="D26" s="372">
        <f>'App 10_5Yr Op Exp'!E27</f>
        <v>10</v>
      </c>
      <c r="E26" s="339" t="s">
        <v>348</v>
      </c>
      <c r="F26" s="644" t="s">
        <v>237</v>
      </c>
      <c r="G26" s="340"/>
      <c r="H26" s="51"/>
      <c r="I26" s="643"/>
      <c r="J26" s="25"/>
      <c r="K26" s="25"/>
      <c r="L26" s="25"/>
      <c r="M26" s="634"/>
      <c r="N26" s="12"/>
      <c r="O26" s="635"/>
      <c r="P26" s="636"/>
      <c r="Q26" s="637"/>
      <c r="R26" s="637"/>
      <c r="S26" s="634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</row>
    <row r="27" spans="1:42" s="333" customFormat="1" ht="12.75" outlineLevel="1">
      <c r="A27" s="331"/>
      <c r="B27" s="339" t="s">
        <v>290</v>
      </c>
      <c r="C27" s="48"/>
      <c r="D27" s="646">
        <f>'App 10_5Yr Op Exp'!E28</f>
        <v>0.02</v>
      </c>
      <c r="E27" s="339"/>
      <c r="F27" s="644"/>
      <c r="G27" s="340"/>
      <c r="H27" s="51"/>
      <c r="I27" s="643"/>
      <c r="J27" s="25"/>
      <c r="K27" s="25"/>
      <c r="L27" s="25"/>
      <c r="M27" s="634"/>
      <c r="N27" s="12"/>
      <c r="O27" s="635"/>
      <c r="P27" s="12"/>
      <c r="Q27" s="637"/>
      <c r="R27" s="637"/>
      <c r="S27" s="634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</row>
    <row r="28" spans="1:42" s="333" customFormat="1" ht="12.75" outlineLevel="1">
      <c r="A28" s="331"/>
      <c r="B28" s="339" t="s">
        <v>291</v>
      </c>
      <c r="C28" s="48"/>
      <c r="D28" s="646">
        <f ca="1">'App 10_5Yr Op Exp'!E29</f>
        <v>6.4293066279561314E-2</v>
      </c>
      <c r="E28" s="339"/>
      <c r="F28" s="644"/>
      <c r="G28" s="340"/>
      <c r="H28" s="51"/>
      <c r="I28" s="643"/>
      <c r="J28" s="25"/>
      <c r="K28" s="25"/>
      <c r="L28" s="25"/>
      <c r="M28" s="48"/>
      <c r="N28" s="48"/>
      <c r="O28" s="631"/>
      <c r="P28" s="632"/>
      <c r="Q28" s="632"/>
      <c r="R28" s="632"/>
      <c r="S28" s="48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</row>
    <row r="29" spans="1:42" s="333" customFormat="1" ht="12.75" outlineLevel="1">
      <c r="A29" s="331"/>
      <c r="B29" s="339" t="s">
        <v>288</v>
      </c>
      <c r="C29" s="48"/>
      <c r="D29" s="646">
        <f>'App 10_5Yr Op Exp'!E30</f>
        <v>0.2</v>
      </c>
      <c r="E29" s="339" t="s">
        <v>289</v>
      </c>
      <c r="F29" s="644" t="s">
        <v>356</v>
      </c>
      <c r="G29" s="340"/>
      <c r="H29" s="51"/>
      <c r="I29" s="643"/>
      <c r="J29" s="25"/>
      <c r="K29" s="25"/>
      <c r="L29" s="25"/>
      <c r="M29" s="48"/>
      <c r="N29" s="48"/>
      <c r="O29" s="631"/>
      <c r="P29" s="632"/>
      <c r="Q29" s="632"/>
      <c r="R29" s="632"/>
      <c r="S29" s="48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</row>
    <row r="30" spans="1:42" s="333" customFormat="1" ht="12.75" outlineLevel="1">
      <c r="A30" s="331"/>
      <c r="B30" s="339" t="s">
        <v>292</v>
      </c>
      <c r="C30" s="48"/>
      <c r="D30" s="646">
        <f>'App 10_5Yr Op Exp'!E31</f>
        <v>0.01</v>
      </c>
      <c r="E30" s="339"/>
      <c r="F30" s="590"/>
      <c r="G30" s="340"/>
      <c r="H30" s="51"/>
      <c r="I30" s="643"/>
      <c r="J30" s="25"/>
      <c r="K30" s="25"/>
      <c r="L30" s="25"/>
      <c r="M30" s="25"/>
      <c r="N30" s="25"/>
      <c r="O30" s="631"/>
      <c r="P30" s="632"/>
      <c r="Q30" s="632"/>
      <c r="R30" s="632"/>
      <c r="S30" s="48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</row>
    <row r="31" spans="1:42" s="333" customFormat="1" ht="12.75" outlineLevel="1">
      <c r="A31" s="331"/>
      <c r="B31" s="339" t="s">
        <v>366</v>
      </c>
      <c r="C31" s="48"/>
      <c r="D31" s="647">
        <f>'App 10_5Yr Op Exp'!E32</f>
        <v>5.0000000000000001E-3</v>
      </c>
      <c r="E31" s="339"/>
      <c r="F31" s="590"/>
      <c r="G31" s="340"/>
      <c r="H31" s="51"/>
      <c r="I31" s="643"/>
      <c r="J31" s="25"/>
      <c r="K31" s="25"/>
      <c r="L31" s="25"/>
      <c r="M31" s="25"/>
      <c r="N31" s="25"/>
      <c r="O31" s="631"/>
      <c r="P31" s="632"/>
      <c r="Q31" s="632"/>
      <c r="R31" s="632"/>
      <c r="S31" s="48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</row>
    <row r="32" spans="1:42" s="333" customFormat="1" ht="12.75" outlineLevel="1">
      <c r="A32" s="331"/>
      <c r="B32" s="592"/>
      <c r="C32" s="61"/>
      <c r="D32" s="71"/>
      <c r="E32" s="592"/>
      <c r="F32" s="593"/>
      <c r="G32" s="340"/>
      <c r="H32" s="648"/>
      <c r="I32" s="547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</row>
    <row r="33" spans="1:42" s="333" customFormat="1" ht="12.75" outlineLevel="1">
      <c r="A33" s="331"/>
      <c r="B33" s="48"/>
      <c r="C33" s="48"/>
      <c r="D33" s="48"/>
      <c r="E33" s="48"/>
      <c r="F33" s="649"/>
      <c r="G33" s="340"/>
      <c r="H33" s="648"/>
      <c r="I33" s="547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</row>
    <row r="34" spans="1:42" s="333" customFormat="1" ht="12.75" outlineLevel="1">
      <c r="A34" s="331"/>
      <c r="B34" s="38" t="s">
        <v>369</v>
      </c>
      <c r="C34" s="39"/>
      <c r="D34" s="39"/>
      <c r="E34" s="39"/>
      <c r="F34" s="638"/>
      <c r="G34" s="340"/>
      <c r="H34" s="648"/>
      <c r="I34" s="547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</row>
    <row r="35" spans="1:42" s="333" customFormat="1" ht="12.75" outlineLevel="1">
      <c r="A35" s="331"/>
      <c r="B35" s="42"/>
      <c r="C35" s="43"/>
      <c r="D35" s="43"/>
      <c r="E35" s="463"/>
      <c r="F35" s="337"/>
      <c r="G35" s="340"/>
      <c r="H35" s="648"/>
      <c r="I35" s="547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</row>
    <row r="36" spans="1:42" s="333" customFormat="1" ht="12.75" outlineLevel="1">
      <c r="A36" s="331"/>
      <c r="B36" s="42"/>
      <c r="C36" s="43"/>
      <c r="D36" s="354" t="s">
        <v>370</v>
      </c>
      <c r="E36" s="463" t="s">
        <v>101</v>
      </c>
      <c r="F36" s="465" t="s">
        <v>236</v>
      </c>
      <c r="G36" s="340"/>
      <c r="H36" s="648"/>
      <c r="I36" s="547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</row>
    <row r="37" spans="1:42" s="333" customFormat="1" ht="12.75" outlineLevel="1">
      <c r="A37" s="331"/>
      <c r="B37" s="587" t="s">
        <v>308</v>
      </c>
      <c r="C37" s="455"/>
      <c r="D37" s="697">
        <v>2</v>
      </c>
      <c r="E37" s="699" t="s">
        <v>308</v>
      </c>
      <c r="F37" s="588"/>
      <c r="G37" s="340"/>
      <c r="H37" s="648"/>
      <c r="I37" s="547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</row>
    <row r="38" spans="1:42" s="333" customFormat="1" ht="12.75" outlineLevel="1">
      <c r="A38" s="331"/>
      <c r="B38" s="339" t="s">
        <v>309</v>
      </c>
      <c r="C38" s="48"/>
      <c r="D38" s="698">
        <v>0.5</v>
      </c>
      <c r="E38" s="690" t="s">
        <v>310</v>
      </c>
      <c r="F38" s="590"/>
      <c r="G38" s="340"/>
      <c r="H38" s="648"/>
      <c r="I38" s="547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</row>
    <row r="39" spans="1:42" s="333" customFormat="1" ht="12.75" outlineLevel="1">
      <c r="A39" s="331"/>
      <c r="B39" s="339" t="s">
        <v>311</v>
      </c>
      <c r="C39" s="48"/>
      <c r="D39" s="698">
        <v>1000</v>
      </c>
      <c r="E39" s="690" t="s">
        <v>296</v>
      </c>
      <c r="F39" s="590"/>
      <c r="G39" s="340"/>
      <c r="H39" s="648"/>
      <c r="I39" s="547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</row>
    <row r="40" spans="1:42" s="333" customFormat="1" ht="12.75" outlineLevel="1">
      <c r="A40" s="331"/>
      <c r="B40" s="339" t="s">
        <v>312</v>
      </c>
      <c r="C40" s="48"/>
      <c r="D40" s="698">
        <v>2000</v>
      </c>
      <c r="E40" s="690" t="s">
        <v>296</v>
      </c>
      <c r="F40" s="590"/>
      <c r="G40" s="340"/>
      <c r="H40" s="648"/>
      <c r="I40" s="547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</row>
    <row r="41" spans="1:42" s="333" customFormat="1" ht="12.75" outlineLevel="1">
      <c r="A41" s="331"/>
      <c r="B41" s="339" t="s">
        <v>313</v>
      </c>
      <c r="C41" s="48"/>
      <c r="D41" s="698">
        <v>500</v>
      </c>
      <c r="E41" s="690" t="s">
        <v>314</v>
      </c>
      <c r="F41" s="590"/>
      <c r="G41" s="340"/>
      <c r="H41" s="648"/>
      <c r="I41" s="547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</row>
    <row r="42" spans="1:42" s="333" customFormat="1" ht="12.75" outlineLevel="1">
      <c r="A42" s="331"/>
      <c r="B42" s="339" t="s">
        <v>1606</v>
      </c>
      <c r="C42" s="48"/>
      <c r="D42" s="696">
        <f ca="1">SUMIF('App 6_Yr 1 Capex'!$G$268:$G$315,"&gt;=1000",'App 6_Yr 1 Capex'!$E$268:$E$315)*0.15/12</f>
        <v>19830.5</v>
      </c>
      <c r="E42" s="690" t="s">
        <v>1612</v>
      </c>
      <c r="F42" s="590"/>
      <c r="G42" s="340"/>
      <c r="H42" s="648"/>
      <c r="I42" s="547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</row>
    <row r="43" spans="1:42" s="333" customFormat="1" ht="12.75" outlineLevel="1">
      <c r="A43" s="331"/>
      <c r="B43" s="339" t="s">
        <v>1607</v>
      </c>
      <c r="C43" s="48"/>
      <c r="D43" s="698">
        <f ca="1">SUMIF('App 6_Yr 1 Capex'!$G$318:$G$333,"&gt;=3000",'App 6_Yr 1 Capex'!$E$318:$E$333)*'App 10_5Yr Op Exp'!E29/12</f>
        <v>12303.046154679527</v>
      </c>
      <c r="E43" s="690" t="s">
        <v>1612</v>
      </c>
      <c r="F43" s="590"/>
      <c r="G43" s="340"/>
      <c r="H43" s="648"/>
      <c r="I43" s="547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</row>
    <row r="44" spans="1:42" s="333" customFormat="1" ht="12.75" outlineLevel="1">
      <c r="A44" s="331"/>
      <c r="B44" s="339" t="s">
        <v>1608</v>
      </c>
      <c r="C44" s="48"/>
      <c r="D44" s="698">
        <v>500</v>
      </c>
      <c r="E44" s="690" t="s">
        <v>1613</v>
      </c>
      <c r="F44" s="590"/>
      <c r="G44" s="340"/>
      <c r="H44" s="648"/>
      <c r="I44" s="547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</row>
    <row r="45" spans="1:42" s="333" customFormat="1" ht="12.75" outlineLevel="1">
      <c r="A45" s="331"/>
      <c r="B45" s="339" t="s">
        <v>1609</v>
      </c>
      <c r="C45" s="48"/>
      <c r="D45" s="698">
        <v>10</v>
      </c>
      <c r="E45" s="690" t="s">
        <v>1614</v>
      </c>
      <c r="F45" s="590"/>
      <c r="G45" s="340"/>
      <c r="H45" s="648"/>
      <c r="I45" s="547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</row>
    <row r="46" spans="1:42" s="333" customFormat="1" ht="12.75" outlineLevel="1">
      <c r="A46" s="331"/>
      <c r="B46" s="339" t="s">
        <v>1610</v>
      </c>
      <c r="C46" s="48"/>
      <c r="D46" s="698">
        <v>200</v>
      </c>
      <c r="E46" s="690" t="s">
        <v>1615</v>
      </c>
      <c r="F46" s="590"/>
      <c r="G46" s="340"/>
      <c r="H46" s="648"/>
      <c r="I46" s="547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</row>
    <row r="47" spans="1:42" s="25" customFormat="1" ht="8.25" customHeight="1" outlineLevel="1">
      <c r="A47" s="331"/>
      <c r="B47" s="592"/>
      <c r="C47" s="61"/>
      <c r="D47" s="592"/>
      <c r="E47" s="61"/>
      <c r="F47" s="593"/>
      <c r="G47" s="340"/>
      <c r="H47" s="648"/>
      <c r="I47" s="547"/>
    </row>
    <row r="48" spans="1:42" s="333" customFormat="1" ht="12.75">
      <c r="A48" s="331"/>
      <c r="B48" s="48"/>
      <c r="C48" s="48"/>
      <c r="D48" s="48"/>
      <c r="E48" s="48"/>
      <c r="F48" s="649"/>
      <c r="G48" s="340"/>
      <c r="H48" s="648"/>
      <c r="I48" s="547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</row>
    <row r="49" spans="1:42" s="333" customFormat="1" ht="12.75" outlineLevel="1">
      <c r="A49" s="331"/>
      <c r="B49" s="38" t="s">
        <v>293</v>
      </c>
      <c r="C49" s="39"/>
      <c r="D49" s="157"/>
      <c r="E49" s="157"/>
      <c r="F49" s="650"/>
      <c r="G49" s="651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34" t="s">
        <v>160</v>
      </c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</row>
    <row r="50" spans="1:42" s="333" customFormat="1" ht="12.75" outlineLevel="1">
      <c r="A50" s="331"/>
      <c r="B50" s="42" t="s">
        <v>294</v>
      </c>
      <c r="C50" s="43"/>
      <c r="D50" s="43" t="s">
        <v>1641</v>
      </c>
      <c r="E50" s="354" t="s">
        <v>163</v>
      </c>
      <c r="F50" s="685" t="s">
        <v>101</v>
      </c>
      <c r="G50" s="355" t="s">
        <v>1642</v>
      </c>
      <c r="H50" s="67">
        <v>41456</v>
      </c>
      <c r="I50" s="67">
        <v>41487</v>
      </c>
      <c r="J50" s="67">
        <v>41518</v>
      </c>
      <c r="K50" s="67">
        <v>41548</v>
      </c>
      <c r="L50" s="67">
        <v>41579</v>
      </c>
      <c r="M50" s="67">
        <v>41609</v>
      </c>
      <c r="N50" s="67">
        <v>41640</v>
      </c>
      <c r="O50" s="67">
        <v>41671</v>
      </c>
      <c r="P50" s="67">
        <v>41699</v>
      </c>
      <c r="Q50" s="67">
        <v>41730</v>
      </c>
      <c r="R50" s="67">
        <v>41760</v>
      </c>
      <c r="S50" s="68">
        <v>41791</v>
      </c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</row>
    <row r="51" spans="1:42" s="25" customFormat="1" ht="12.75" outlineLevel="1">
      <c r="A51" s="652"/>
      <c r="B51" s="371" t="s">
        <v>275</v>
      </c>
      <c r="C51" s="47"/>
      <c r="D51" s="226"/>
      <c r="E51" s="227"/>
      <c r="F51" s="686"/>
      <c r="G51" s="653"/>
      <c r="H51" s="654"/>
      <c r="I51" s="655"/>
      <c r="J51" s="655"/>
      <c r="K51" s="655"/>
      <c r="L51" s="655"/>
      <c r="M51" s="655"/>
      <c r="N51" s="655"/>
      <c r="O51" s="655"/>
      <c r="P51" s="655"/>
      <c r="Q51" s="655"/>
      <c r="R51" s="655"/>
      <c r="S51" s="656"/>
    </row>
    <row r="52" spans="1:42" s="25" customFormat="1" ht="12.75" outlineLevel="1">
      <c r="A52" s="331"/>
      <c r="B52" s="339" t="s">
        <v>295</v>
      </c>
      <c r="C52" s="47" t="s">
        <v>275</v>
      </c>
      <c r="D52" s="357">
        <f>SUM(H52:S52)</f>
        <v>12000</v>
      </c>
      <c r="E52" s="657">
        <f>E110</f>
        <v>12</v>
      </c>
      <c r="F52" s="687" t="s">
        <v>296</v>
      </c>
      <c r="G52" s="658">
        <f>G110</f>
        <v>1000</v>
      </c>
      <c r="H52" s="541">
        <f>H110*$G110</f>
        <v>1000</v>
      </c>
      <c r="I52" s="456">
        <f t="shared" ref="I52:S59" si="2">I110*$G110</f>
        <v>1000</v>
      </c>
      <c r="J52" s="456">
        <f t="shared" si="2"/>
        <v>1000</v>
      </c>
      <c r="K52" s="456">
        <f t="shared" si="2"/>
        <v>1000</v>
      </c>
      <c r="L52" s="456">
        <f t="shared" si="2"/>
        <v>1000</v>
      </c>
      <c r="M52" s="456">
        <f t="shared" si="2"/>
        <v>1000</v>
      </c>
      <c r="N52" s="456">
        <f t="shared" si="2"/>
        <v>1000</v>
      </c>
      <c r="O52" s="456">
        <f t="shared" si="2"/>
        <v>1000</v>
      </c>
      <c r="P52" s="456">
        <f t="shared" si="2"/>
        <v>1000</v>
      </c>
      <c r="Q52" s="456">
        <f t="shared" si="2"/>
        <v>1000</v>
      </c>
      <c r="R52" s="456">
        <f t="shared" si="2"/>
        <v>1000</v>
      </c>
      <c r="S52" s="576">
        <f t="shared" si="2"/>
        <v>1000</v>
      </c>
    </row>
    <row r="53" spans="1:42" s="25" customFormat="1" ht="12.75" outlineLevel="1">
      <c r="A53" s="331"/>
      <c r="B53" s="339" t="s">
        <v>297</v>
      </c>
      <c r="C53" s="47" t="s">
        <v>275</v>
      </c>
      <c r="D53" s="357">
        <f t="shared" ref="D53:D59" si="3">SUM(H53:S53)</f>
        <v>1200</v>
      </c>
      <c r="E53" s="657">
        <f t="shared" ref="E53:E59" si="4">E111</f>
        <v>12</v>
      </c>
      <c r="F53" s="687" t="s">
        <v>296</v>
      </c>
      <c r="G53" s="658">
        <f t="shared" ref="G53:G59" si="5">G111</f>
        <v>100</v>
      </c>
      <c r="H53" s="541">
        <f t="shared" ref="H53:I59" si="6">H111*$G111</f>
        <v>100</v>
      </c>
      <c r="I53" s="456">
        <f t="shared" si="6"/>
        <v>100</v>
      </c>
      <c r="J53" s="456">
        <f t="shared" si="2"/>
        <v>100</v>
      </c>
      <c r="K53" s="456">
        <f t="shared" si="2"/>
        <v>100</v>
      </c>
      <c r="L53" s="456">
        <f t="shared" si="2"/>
        <v>100</v>
      </c>
      <c r="M53" s="456">
        <f t="shared" si="2"/>
        <v>100</v>
      </c>
      <c r="N53" s="456">
        <f t="shared" si="2"/>
        <v>100</v>
      </c>
      <c r="O53" s="456">
        <f t="shared" si="2"/>
        <v>100</v>
      </c>
      <c r="P53" s="456">
        <f t="shared" si="2"/>
        <v>100</v>
      </c>
      <c r="Q53" s="456">
        <f t="shared" si="2"/>
        <v>100</v>
      </c>
      <c r="R53" s="456">
        <f t="shared" si="2"/>
        <v>100</v>
      </c>
      <c r="S53" s="576">
        <f t="shared" si="2"/>
        <v>100</v>
      </c>
    </row>
    <row r="54" spans="1:42" s="25" customFormat="1" ht="12.75" outlineLevel="1">
      <c r="A54" s="331"/>
      <c r="B54" s="339" t="s">
        <v>298</v>
      </c>
      <c r="C54" s="47" t="s">
        <v>275</v>
      </c>
      <c r="D54" s="357">
        <f t="shared" si="3"/>
        <v>3600</v>
      </c>
      <c r="E54" s="657">
        <f t="shared" si="4"/>
        <v>12</v>
      </c>
      <c r="F54" s="687" t="s">
        <v>296</v>
      </c>
      <c r="G54" s="658">
        <f t="shared" si="5"/>
        <v>300</v>
      </c>
      <c r="H54" s="541">
        <f t="shared" si="6"/>
        <v>300</v>
      </c>
      <c r="I54" s="456">
        <f t="shared" si="6"/>
        <v>300</v>
      </c>
      <c r="J54" s="456">
        <f t="shared" si="2"/>
        <v>300</v>
      </c>
      <c r="K54" s="456">
        <f t="shared" si="2"/>
        <v>300</v>
      </c>
      <c r="L54" s="456">
        <f t="shared" si="2"/>
        <v>300</v>
      </c>
      <c r="M54" s="456">
        <f t="shared" si="2"/>
        <v>300</v>
      </c>
      <c r="N54" s="456">
        <f t="shared" si="2"/>
        <v>300</v>
      </c>
      <c r="O54" s="456">
        <f t="shared" si="2"/>
        <v>300</v>
      </c>
      <c r="P54" s="456">
        <f t="shared" si="2"/>
        <v>300</v>
      </c>
      <c r="Q54" s="456">
        <f t="shared" si="2"/>
        <v>300</v>
      </c>
      <c r="R54" s="456">
        <f t="shared" si="2"/>
        <v>300</v>
      </c>
      <c r="S54" s="576">
        <f t="shared" si="2"/>
        <v>300</v>
      </c>
    </row>
    <row r="55" spans="1:42" s="25" customFormat="1" ht="12.75" outlineLevel="1">
      <c r="A55" s="331"/>
      <c r="B55" s="339" t="s">
        <v>299</v>
      </c>
      <c r="C55" s="47" t="s">
        <v>275</v>
      </c>
      <c r="D55" s="357">
        <f t="shared" si="3"/>
        <v>7930</v>
      </c>
      <c r="E55" s="657">
        <f t="shared" si="4"/>
        <v>793</v>
      </c>
      <c r="F55" s="687" t="s">
        <v>300</v>
      </c>
      <c r="G55" s="658">
        <f t="shared" si="5"/>
        <v>10</v>
      </c>
      <c r="H55" s="541">
        <f t="shared" si="6"/>
        <v>540</v>
      </c>
      <c r="I55" s="456">
        <f t="shared" si="6"/>
        <v>540</v>
      </c>
      <c r="J55" s="456">
        <f t="shared" si="2"/>
        <v>560</v>
      </c>
      <c r="K55" s="456">
        <f t="shared" si="2"/>
        <v>600</v>
      </c>
      <c r="L55" s="456">
        <f t="shared" si="2"/>
        <v>620</v>
      </c>
      <c r="M55" s="456">
        <f t="shared" si="2"/>
        <v>640</v>
      </c>
      <c r="N55" s="456">
        <f t="shared" si="2"/>
        <v>700</v>
      </c>
      <c r="O55" s="456">
        <f t="shared" si="2"/>
        <v>730</v>
      </c>
      <c r="P55" s="456">
        <f t="shared" si="2"/>
        <v>750</v>
      </c>
      <c r="Q55" s="456">
        <f t="shared" si="2"/>
        <v>750</v>
      </c>
      <c r="R55" s="456">
        <f t="shared" si="2"/>
        <v>750</v>
      </c>
      <c r="S55" s="576">
        <f t="shared" si="2"/>
        <v>750</v>
      </c>
    </row>
    <row r="56" spans="1:42" s="25" customFormat="1" ht="12.75" outlineLevel="1">
      <c r="A56" s="331"/>
      <c r="B56" s="339" t="s">
        <v>301</v>
      </c>
      <c r="C56" s="47" t="s">
        <v>275</v>
      </c>
      <c r="D56" s="357">
        <f t="shared" si="3"/>
        <v>7930</v>
      </c>
      <c r="E56" s="657">
        <f t="shared" si="4"/>
        <v>793</v>
      </c>
      <c r="F56" s="687" t="s">
        <v>300</v>
      </c>
      <c r="G56" s="658">
        <f t="shared" si="5"/>
        <v>10</v>
      </c>
      <c r="H56" s="541">
        <f t="shared" si="6"/>
        <v>540</v>
      </c>
      <c r="I56" s="456">
        <f t="shared" si="6"/>
        <v>540</v>
      </c>
      <c r="J56" s="456">
        <f t="shared" si="2"/>
        <v>560</v>
      </c>
      <c r="K56" s="456">
        <f t="shared" si="2"/>
        <v>600</v>
      </c>
      <c r="L56" s="456">
        <f t="shared" si="2"/>
        <v>620</v>
      </c>
      <c r="M56" s="456">
        <f t="shared" si="2"/>
        <v>640</v>
      </c>
      <c r="N56" s="456">
        <f t="shared" si="2"/>
        <v>700</v>
      </c>
      <c r="O56" s="456">
        <f t="shared" si="2"/>
        <v>730</v>
      </c>
      <c r="P56" s="456">
        <f t="shared" si="2"/>
        <v>750</v>
      </c>
      <c r="Q56" s="456">
        <f t="shared" si="2"/>
        <v>750</v>
      </c>
      <c r="R56" s="456">
        <f t="shared" si="2"/>
        <v>750</v>
      </c>
      <c r="S56" s="576">
        <f t="shared" si="2"/>
        <v>750</v>
      </c>
    </row>
    <row r="57" spans="1:42" s="25" customFormat="1" ht="12.75" outlineLevel="1">
      <c r="A57" s="331"/>
      <c r="B57" s="339" t="s">
        <v>302</v>
      </c>
      <c r="C57" s="47" t="s">
        <v>275</v>
      </c>
      <c r="D57" s="357">
        <f t="shared" si="3"/>
        <v>10000</v>
      </c>
      <c r="E57" s="657">
        <f t="shared" si="4"/>
        <v>5</v>
      </c>
      <c r="F57" s="687" t="s">
        <v>303</v>
      </c>
      <c r="G57" s="658">
        <f t="shared" si="5"/>
        <v>2000</v>
      </c>
      <c r="H57" s="541">
        <f t="shared" si="6"/>
        <v>2000</v>
      </c>
      <c r="I57" s="456">
        <f t="shared" si="6"/>
        <v>0</v>
      </c>
      <c r="J57" s="456">
        <f t="shared" si="2"/>
        <v>2000</v>
      </c>
      <c r="K57" s="456">
        <f t="shared" si="2"/>
        <v>0</v>
      </c>
      <c r="L57" s="456">
        <f t="shared" si="2"/>
        <v>0</v>
      </c>
      <c r="M57" s="456">
        <f t="shared" si="2"/>
        <v>2000</v>
      </c>
      <c r="N57" s="456">
        <f t="shared" si="2"/>
        <v>0</v>
      </c>
      <c r="O57" s="456">
        <f t="shared" si="2"/>
        <v>0</v>
      </c>
      <c r="P57" s="456">
        <f t="shared" si="2"/>
        <v>2000</v>
      </c>
      <c r="Q57" s="456">
        <f t="shared" si="2"/>
        <v>0</v>
      </c>
      <c r="R57" s="456">
        <f t="shared" si="2"/>
        <v>0</v>
      </c>
      <c r="S57" s="576">
        <f t="shared" si="2"/>
        <v>2000</v>
      </c>
    </row>
    <row r="58" spans="1:42" s="25" customFormat="1" ht="12.75" outlineLevel="1">
      <c r="A58" s="331"/>
      <c r="B58" s="339" t="s">
        <v>304</v>
      </c>
      <c r="C58" s="47" t="s">
        <v>275</v>
      </c>
      <c r="D58" s="357">
        <f t="shared" si="3"/>
        <v>6000</v>
      </c>
      <c r="E58" s="657">
        <f t="shared" si="4"/>
        <v>12</v>
      </c>
      <c r="F58" s="687" t="s">
        <v>303</v>
      </c>
      <c r="G58" s="658">
        <f t="shared" si="5"/>
        <v>500</v>
      </c>
      <c r="H58" s="541">
        <f t="shared" si="6"/>
        <v>500</v>
      </c>
      <c r="I58" s="456">
        <f t="shared" si="6"/>
        <v>500</v>
      </c>
      <c r="J58" s="456">
        <f t="shared" si="2"/>
        <v>500</v>
      </c>
      <c r="K58" s="456">
        <f t="shared" si="2"/>
        <v>500</v>
      </c>
      <c r="L58" s="456">
        <f t="shared" si="2"/>
        <v>500</v>
      </c>
      <c r="M58" s="456">
        <f t="shared" si="2"/>
        <v>500</v>
      </c>
      <c r="N58" s="456">
        <f t="shared" si="2"/>
        <v>500</v>
      </c>
      <c r="O58" s="456">
        <f t="shared" si="2"/>
        <v>500</v>
      </c>
      <c r="P58" s="456">
        <f t="shared" si="2"/>
        <v>500</v>
      </c>
      <c r="Q58" s="456">
        <f t="shared" si="2"/>
        <v>500</v>
      </c>
      <c r="R58" s="456">
        <f t="shared" si="2"/>
        <v>500</v>
      </c>
      <c r="S58" s="576">
        <f t="shared" si="2"/>
        <v>500</v>
      </c>
    </row>
    <row r="59" spans="1:42" s="25" customFormat="1" ht="12.75" outlineLevel="1">
      <c r="A59" s="331"/>
      <c r="B59" s="339" t="s">
        <v>305</v>
      </c>
      <c r="C59" s="47" t="s">
        <v>275</v>
      </c>
      <c r="D59" s="357">
        <f t="shared" si="3"/>
        <v>24742.006041337419</v>
      </c>
      <c r="E59" s="657">
        <f t="shared" si="4"/>
        <v>12</v>
      </c>
      <c r="F59" s="687" t="s">
        <v>296</v>
      </c>
      <c r="G59" s="658">
        <f t="shared" si="5"/>
        <v>2061.8338367781184</v>
      </c>
      <c r="H59" s="541">
        <f t="shared" si="6"/>
        <v>2061.8338367781184</v>
      </c>
      <c r="I59" s="456">
        <f t="shared" si="6"/>
        <v>2061.8338367781184</v>
      </c>
      <c r="J59" s="456">
        <f t="shared" si="2"/>
        <v>2061.8338367781184</v>
      </c>
      <c r="K59" s="456">
        <f t="shared" si="2"/>
        <v>2061.8338367781184</v>
      </c>
      <c r="L59" s="456">
        <f t="shared" si="2"/>
        <v>2061.8338367781184</v>
      </c>
      <c r="M59" s="456">
        <f t="shared" si="2"/>
        <v>2061.8338367781184</v>
      </c>
      <c r="N59" s="456">
        <f t="shared" si="2"/>
        <v>2061.8338367781184</v>
      </c>
      <c r="O59" s="456">
        <f t="shared" si="2"/>
        <v>2061.8338367781184</v>
      </c>
      <c r="P59" s="456">
        <f t="shared" si="2"/>
        <v>2061.8338367781184</v>
      </c>
      <c r="Q59" s="456">
        <f t="shared" si="2"/>
        <v>2061.8338367781184</v>
      </c>
      <c r="R59" s="456">
        <f t="shared" si="2"/>
        <v>2061.8338367781184</v>
      </c>
      <c r="S59" s="576">
        <f t="shared" si="2"/>
        <v>2061.8338367781184</v>
      </c>
    </row>
    <row r="60" spans="1:42" s="25" customFormat="1" ht="12.75" outlineLevel="1">
      <c r="A60" s="331"/>
      <c r="B60" s="342" t="s">
        <v>234</v>
      </c>
      <c r="C60" s="343"/>
      <c r="D60" s="370">
        <f>SUM(D52:D59)</f>
        <v>73402.006041337416</v>
      </c>
      <c r="E60" s="659"/>
      <c r="F60" s="688"/>
      <c r="G60" s="660"/>
      <c r="H60" s="659">
        <f>SUM(H52:H59)</f>
        <v>7041.833836778118</v>
      </c>
      <c r="I60" s="457">
        <f>SUM(I52:I59)</f>
        <v>5041.833836778118</v>
      </c>
      <c r="J60" s="457">
        <f t="shared" ref="J60:S60" si="7">SUM(J52:J59)</f>
        <v>7081.833836778118</v>
      </c>
      <c r="K60" s="457">
        <f t="shared" si="7"/>
        <v>5161.833836778118</v>
      </c>
      <c r="L60" s="457">
        <f t="shared" si="7"/>
        <v>5201.833836778118</v>
      </c>
      <c r="M60" s="457">
        <f t="shared" si="7"/>
        <v>7241.833836778118</v>
      </c>
      <c r="N60" s="457">
        <f t="shared" si="7"/>
        <v>5361.833836778118</v>
      </c>
      <c r="O60" s="457">
        <f t="shared" si="7"/>
        <v>5421.833836778118</v>
      </c>
      <c r="P60" s="457">
        <f t="shared" si="7"/>
        <v>7461.833836778118</v>
      </c>
      <c r="Q60" s="457">
        <f t="shared" si="7"/>
        <v>5461.833836778118</v>
      </c>
      <c r="R60" s="457">
        <f t="shared" si="7"/>
        <v>5461.833836778118</v>
      </c>
      <c r="S60" s="584">
        <f t="shared" si="7"/>
        <v>7461.833836778118</v>
      </c>
    </row>
    <row r="61" spans="1:42" s="25" customFormat="1" ht="12.75" outlineLevel="1">
      <c r="A61" s="331"/>
      <c r="B61" s="48"/>
      <c r="C61" s="48"/>
      <c r="D61" s="456"/>
      <c r="E61" s="456"/>
      <c r="F61" s="688"/>
      <c r="G61" s="661"/>
      <c r="H61" s="456"/>
      <c r="I61" s="456"/>
      <c r="J61" s="456"/>
      <c r="K61" s="456"/>
      <c r="L61" s="456"/>
      <c r="M61" s="456"/>
      <c r="N61" s="456"/>
      <c r="O61" s="456"/>
      <c r="P61" s="456"/>
      <c r="Q61" s="456"/>
      <c r="R61" s="456"/>
      <c r="S61" s="456"/>
    </row>
    <row r="62" spans="1:42" s="25" customFormat="1" ht="12.75" outlineLevel="1">
      <c r="A62" s="331"/>
      <c r="B62" s="371" t="s">
        <v>276</v>
      </c>
      <c r="C62" s="47"/>
      <c r="D62" s="226"/>
      <c r="E62" s="662"/>
      <c r="F62" s="689"/>
      <c r="G62" s="663"/>
      <c r="H62" s="654"/>
      <c r="I62" s="655"/>
      <c r="J62" s="655"/>
      <c r="K62" s="655"/>
      <c r="L62" s="655"/>
      <c r="M62" s="655"/>
      <c r="N62" s="655"/>
      <c r="O62" s="655"/>
      <c r="P62" s="655"/>
      <c r="Q62" s="655"/>
      <c r="R62" s="655"/>
      <c r="S62" s="656"/>
    </row>
    <row r="63" spans="1:42" s="25" customFormat="1" ht="12.75" outlineLevel="1">
      <c r="A63" s="331"/>
      <c r="B63" s="339" t="s">
        <v>306</v>
      </c>
      <c r="C63" s="47" t="s">
        <v>276</v>
      </c>
      <c r="D63" s="357">
        <f>SUM(H63:S63)</f>
        <v>270000</v>
      </c>
      <c r="E63" s="657">
        <f>E121</f>
        <v>12</v>
      </c>
      <c r="F63" s="690" t="s">
        <v>296</v>
      </c>
      <c r="G63" s="658">
        <f>G121</f>
        <v>22500</v>
      </c>
      <c r="H63" s="541">
        <f>H121*$G121</f>
        <v>22500</v>
      </c>
      <c r="I63" s="456">
        <f t="shared" ref="I63:S63" si="8">I121*$G121</f>
        <v>22500</v>
      </c>
      <c r="J63" s="456">
        <f t="shared" si="8"/>
        <v>22500</v>
      </c>
      <c r="K63" s="456">
        <f t="shared" si="8"/>
        <v>22500</v>
      </c>
      <c r="L63" s="456">
        <f t="shared" si="8"/>
        <v>22500</v>
      </c>
      <c r="M63" s="456">
        <f t="shared" si="8"/>
        <v>22500</v>
      </c>
      <c r="N63" s="456">
        <f t="shared" si="8"/>
        <v>22500</v>
      </c>
      <c r="O63" s="456">
        <f t="shared" si="8"/>
        <v>22500</v>
      </c>
      <c r="P63" s="456">
        <f t="shared" si="8"/>
        <v>22500</v>
      </c>
      <c r="Q63" s="456">
        <f t="shared" si="8"/>
        <v>22500</v>
      </c>
      <c r="R63" s="456">
        <f t="shared" si="8"/>
        <v>22500</v>
      </c>
      <c r="S63" s="576">
        <f t="shared" si="8"/>
        <v>22500</v>
      </c>
    </row>
    <row r="64" spans="1:42" s="25" customFormat="1" ht="12.75" outlineLevel="1">
      <c r="A64" s="331"/>
      <c r="B64" s="339" t="s">
        <v>286</v>
      </c>
      <c r="C64" s="47" t="s">
        <v>276</v>
      </c>
      <c r="D64" s="357">
        <f t="shared" ref="D64:D65" si="9">SUM(H64:S64)</f>
        <v>7930</v>
      </c>
      <c r="E64" s="657">
        <f t="shared" ref="E64:E65" si="10">E122</f>
        <v>793</v>
      </c>
      <c r="F64" s="690" t="s">
        <v>300</v>
      </c>
      <c r="G64" s="658">
        <f t="shared" ref="G64:G65" si="11">G122</f>
        <v>10</v>
      </c>
      <c r="H64" s="541">
        <f t="shared" ref="H64:S65" si="12">H122*$G122</f>
        <v>540</v>
      </c>
      <c r="I64" s="456">
        <f t="shared" si="12"/>
        <v>540</v>
      </c>
      <c r="J64" s="456">
        <f t="shared" si="12"/>
        <v>560</v>
      </c>
      <c r="K64" s="456">
        <f t="shared" si="12"/>
        <v>600</v>
      </c>
      <c r="L64" s="456">
        <f t="shared" si="12"/>
        <v>620</v>
      </c>
      <c r="M64" s="456">
        <f t="shared" si="12"/>
        <v>640</v>
      </c>
      <c r="N64" s="456">
        <f t="shared" si="12"/>
        <v>700</v>
      </c>
      <c r="O64" s="456">
        <f t="shared" si="12"/>
        <v>730</v>
      </c>
      <c r="P64" s="456">
        <f t="shared" si="12"/>
        <v>750</v>
      </c>
      <c r="Q64" s="456">
        <f t="shared" si="12"/>
        <v>750</v>
      </c>
      <c r="R64" s="456">
        <f t="shared" si="12"/>
        <v>750</v>
      </c>
      <c r="S64" s="576">
        <f t="shared" si="12"/>
        <v>750</v>
      </c>
    </row>
    <row r="65" spans="1:19" s="25" customFormat="1" ht="12.75" outlineLevel="1">
      <c r="A65" s="331"/>
      <c r="B65" s="339" t="s">
        <v>307</v>
      </c>
      <c r="C65" s="47" t="s">
        <v>276</v>
      </c>
      <c r="D65" s="357">
        <f t="shared" si="9"/>
        <v>49484.012082674839</v>
      </c>
      <c r="E65" s="657">
        <f t="shared" si="10"/>
        <v>12</v>
      </c>
      <c r="F65" s="690" t="s">
        <v>296</v>
      </c>
      <c r="G65" s="658">
        <f t="shared" si="11"/>
        <v>4123.6676735562369</v>
      </c>
      <c r="H65" s="541">
        <f t="shared" si="12"/>
        <v>4123.6676735562369</v>
      </c>
      <c r="I65" s="456">
        <f t="shared" si="12"/>
        <v>4123.6676735562369</v>
      </c>
      <c r="J65" s="456">
        <f t="shared" si="12"/>
        <v>4123.6676735562369</v>
      </c>
      <c r="K65" s="456">
        <f t="shared" si="12"/>
        <v>4123.6676735562369</v>
      </c>
      <c r="L65" s="456">
        <f t="shared" si="12"/>
        <v>4123.6676735562369</v>
      </c>
      <c r="M65" s="456">
        <f t="shared" si="12"/>
        <v>4123.6676735562369</v>
      </c>
      <c r="N65" s="456">
        <f t="shared" si="12"/>
        <v>4123.6676735562369</v>
      </c>
      <c r="O65" s="456">
        <f t="shared" si="12"/>
        <v>4123.6676735562369</v>
      </c>
      <c r="P65" s="456">
        <f t="shared" si="12"/>
        <v>4123.6676735562369</v>
      </c>
      <c r="Q65" s="456">
        <f t="shared" si="12"/>
        <v>4123.6676735562369</v>
      </c>
      <c r="R65" s="456">
        <f t="shared" si="12"/>
        <v>4123.6676735562369</v>
      </c>
      <c r="S65" s="576">
        <f t="shared" si="12"/>
        <v>4123.6676735562369</v>
      </c>
    </row>
    <row r="66" spans="1:19" s="25" customFormat="1" ht="12.75" outlineLevel="1">
      <c r="A66" s="331"/>
      <c r="B66" s="339"/>
      <c r="C66" s="47" t="s">
        <v>276</v>
      </c>
      <c r="D66" s="357"/>
      <c r="E66" s="664"/>
      <c r="F66" s="690"/>
      <c r="G66" s="665"/>
      <c r="H66" s="541"/>
      <c r="I66" s="456"/>
      <c r="J66" s="456"/>
      <c r="K66" s="456"/>
      <c r="L66" s="456"/>
      <c r="M66" s="456"/>
      <c r="N66" s="456"/>
      <c r="O66" s="456"/>
      <c r="P66" s="456"/>
      <c r="Q66" s="456"/>
      <c r="R66" s="456"/>
      <c r="S66" s="576"/>
    </row>
    <row r="67" spans="1:19" s="25" customFormat="1" ht="12.75" outlineLevel="1">
      <c r="A67" s="331"/>
      <c r="B67" s="342" t="s">
        <v>234</v>
      </c>
      <c r="C67" s="343"/>
      <c r="D67" s="370">
        <f>SUM(D63:D66)</f>
        <v>327414.01208267483</v>
      </c>
      <c r="E67" s="666"/>
      <c r="F67" s="691"/>
      <c r="G67" s="667"/>
      <c r="H67" s="659">
        <f t="shared" ref="H67:S67" si="13">SUM(H63:H66)</f>
        <v>27163.667673556236</v>
      </c>
      <c r="I67" s="457">
        <f t="shared" si="13"/>
        <v>27163.667673556236</v>
      </c>
      <c r="J67" s="457">
        <f t="shared" si="13"/>
        <v>27183.667673556236</v>
      </c>
      <c r="K67" s="457">
        <f t="shared" si="13"/>
        <v>27223.667673556236</v>
      </c>
      <c r="L67" s="457">
        <f t="shared" si="13"/>
        <v>27243.667673556236</v>
      </c>
      <c r="M67" s="457">
        <f t="shared" si="13"/>
        <v>27263.667673556236</v>
      </c>
      <c r="N67" s="457">
        <f t="shared" si="13"/>
        <v>27323.667673556236</v>
      </c>
      <c r="O67" s="457">
        <f t="shared" si="13"/>
        <v>27353.667673556236</v>
      </c>
      <c r="P67" s="457">
        <f t="shared" si="13"/>
        <v>27373.667673556236</v>
      </c>
      <c r="Q67" s="457">
        <f t="shared" si="13"/>
        <v>27373.667673556236</v>
      </c>
      <c r="R67" s="457">
        <f t="shared" si="13"/>
        <v>27373.667673556236</v>
      </c>
      <c r="S67" s="584">
        <f t="shared" si="13"/>
        <v>27373.667673556236</v>
      </c>
    </row>
    <row r="68" spans="1:19" s="25" customFormat="1" ht="12.75" outlineLevel="1">
      <c r="A68" s="331"/>
      <c r="B68" s="48"/>
      <c r="C68" s="48"/>
      <c r="D68" s="456"/>
      <c r="E68" s="456"/>
      <c r="F68" s="690"/>
      <c r="G68" s="661"/>
      <c r="H68" s="456"/>
      <c r="I68" s="456"/>
      <c r="J68" s="456"/>
      <c r="K68" s="456"/>
      <c r="L68" s="456"/>
      <c r="M68" s="456"/>
      <c r="N68" s="456"/>
      <c r="O68" s="456"/>
      <c r="P68" s="456"/>
      <c r="Q68" s="456"/>
      <c r="R68" s="456"/>
      <c r="S68" s="456"/>
    </row>
    <row r="69" spans="1:19" s="25" customFormat="1" ht="12.75" outlineLevel="1">
      <c r="A69" s="331"/>
      <c r="B69" s="371" t="s">
        <v>277</v>
      </c>
      <c r="C69" s="47"/>
      <c r="D69" s="226"/>
      <c r="E69" s="662"/>
      <c r="F69" s="689"/>
      <c r="G69" s="663"/>
      <c r="H69" s="654"/>
      <c r="I69" s="655"/>
      <c r="J69" s="655"/>
      <c r="K69" s="655"/>
      <c r="L69" s="655"/>
      <c r="M69" s="655"/>
      <c r="N69" s="655"/>
      <c r="O69" s="655"/>
      <c r="P69" s="655"/>
      <c r="Q69" s="655"/>
      <c r="R69" s="655"/>
      <c r="S69" s="656"/>
    </row>
    <row r="70" spans="1:19" s="25" customFormat="1" ht="12.75" outlineLevel="1">
      <c r="A70" s="331"/>
      <c r="B70" s="339" t="s">
        <v>308</v>
      </c>
      <c r="C70" s="47" t="s">
        <v>277</v>
      </c>
      <c r="D70" s="357">
        <f>SUM(H70:S70)</f>
        <v>48000</v>
      </c>
      <c r="E70" s="657">
        <f>E128</f>
        <v>24000</v>
      </c>
      <c r="F70" s="690" t="s">
        <v>308</v>
      </c>
      <c r="G70" s="658">
        <f>G128</f>
        <v>2</v>
      </c>
      <c r="H70" s="541">
        <f>H128*$G128</f>
        <v>4000</v>
      </c>
      <c r="I70" s="456">
        <f t="shared" ref="I70:S70" si="14">I128*$G128</f>
        <v>4000</v>
      </c>
      <c r="J70" s="456">
        <f t="shared" si="14"/>
        <v>4000</v>
      </c>
      <c r="K70" s="456">
        <f t="shared" si="14"/>
        <v>4000</v>
      </c>
      <c r="L70" s="456">
        <f t="shared" si="14"/>
        <v>4000</v>
      </c>
      <c r="M70" s="456">
        <f t="shared" si="14"/>
        <v>4000</v>
      </c>
      <c r="N70" s="456">
        <f t="shared" si="14"/>
        <v>4000</v>
      </c>
      <c r="O70" s="456">
        <f t="shared" si="14"/>
        <v>4000</v>
      </c>
      <c r="P70" s="456">
        <f t="shared" si="14"/>
        <v>4000</v>
      </c>
      <c r="Q70" s="456">
        <f t="shared" si="14"/>
        <v>4000</v>
      </c>
      <c r="R70" s="456">
        <f t="shared" si="14"/>
        <v>4000</v>
      </c>
      <c r="S70" s="576">
        <f t="shared" si="14"/>
        <v>4000</v>
      </c>
    </row>
    <row r="71" spans="1:19" s="25" customFormat="1" ht="12.75" outlineLevel="1">
      <c r="A71" s="331"/>
      <c r="B71" s="339" t="s">
        <v>309</v>
      </c>
      <c r="C71" s="47" t="s">
        <v>277</v>
      </c>
      <c r="D71" s="357">
        <f t="shared" ref="D71:D74" si="15">SUM(H71:S71)</f>
        <v>12000</v>
      </c>
      <c r="E71" s="657">
        <f t="shared" ref="E71:E74" si="16">E129</f>
        <v>24000</v>
      </c>
      <c r="F71" s="690" t="s">
        <v>310</v>
      </c>
      <c r="G71" s="658">
        <f t="shared" ref="G71:G74" si="17">G129</f>
        <v>0.5</v>
      </c>
      <c r="H71" s="541">
        <f t="shared" ref="H71:S74" si="18">H129*$G129</f>
        <v>1000</v>
      </c>
      <c r="I71" s="456">
        <f t="shared" si="18"/>
        <v>1000</v>
      </c>
      <c r="J71" s="456">
        <f t="shared" si="18"/>
        <v>1000</v>
      </c>
      <c r="K71" s="456">
        <f t="shared" si="18"/>
        <v>1000</v>
      </c>
      <c r="L71" s="456">
        <f t="shared" si="18"/>
        <v>1000</v>
      </c>
      <c r="M71" s="456">
        <f t="shared" si="18"/>
        <v>1000</v>
      </c>
      <c r="N71" s="456">
        <f t="shared" si="18"/>
        <v>1000</v>
      </c>
      <c r="O71" s="456">
        <f t="shared" si="18"/>
        <v>1000</v>
      </c>
      <c r="P71" s="456">
        <f t="shared" si="18"/>
        <v>1000</v>
      </c>
      <c r="Q71" s="456">
        <f t="shared" si="18"/>
        <v>1000</v>
      </c>
      <c r="R71" s="456">
        <f t="shared" si="18"/>
        <v>1000</v>
      </c>
      <c r="S71" s="576">
        <f t="shared" si="18"/>
        <v>1000</v>
      </c>
    </row>
    <row r="72" spans="1:19" s="25" customFormat="1" ht="12.75" outlineLevel="1">
      <c r="A72" s="331"/>
      <c r="B72" s="339" t="s">
        <v>311</v>
      </c>
      <c r="C72" s="47" t="s">
        <v>277</v>
      </c>
      <c r="D72" s="357">
        <f t="shared" si="15"/>
        <v>12000</v>
      </c>
      <c r="E72" s="657">
        <f t="shared" si="16"/>
        <v>16</v>
      </c>
      <c r="F72" s="690" t="s">
        <v>296</v>
      </c>
      <c r="G72" s="658">
        <f t="shared" si="17"/>
        <v>750</v>
      </c>
      <c r="H72" s="541">
        <f t="shared" si="18"/>
        <v>2250</v>
      </c>
      <c r="I72" s="456">
        <f t="shared" si="18"/>
        <v>750</v>
      </c>
      <c r="J72" s="456">
        <f t="shared" si="18"/>
        <v>750</v>
      </c>
      <c r="K72" s="456">
        <f t="shared" si="18"/>
        <v>750</v>
      </c>
      <c r="L72" s="456">
        <f t="shared" si="18"/>
        <v>750</v>
      </c>
      <c r="M72" s="456">
        <f t="shared" si="18"/>
        <v>750</v>
      </c>
      <c r="N72" s="456">
        <f t="shared" si="18"/>
        <v>2250</v>
      </c>
      <c r="O72" s="456">
        <f t="shared" si="18"/>
        <v>750</v>
      </c>
      <c r="P72" s="456">
        <f t="shared" si="18"/>
        <v>750</v>
      </c>
      <c r="Q72" s="456">
        <f t="shared" si="18"/>
        <v>750</v>
      </c>
      <c r="R72" s="456">
        <f t="shared" si="18"/>
        <v>750</v>
      </c>
      <c r="S72" s="576">
        <f t="shared" si="18"/>
        <v>750</v>
      </c>
    </row>
    <row r="73" spans="1:19" s="25" customFormat="1" ht="12.75" outlineLevel="1">
      <c r="A73" s="331"/>
      <c r="B73" s="339" t="s">
        <v>312</v>
      </c>
      <c r="C73" s="47" t="s">
        <v>277</v>
      </c>
      <c r="D73" s="357">
        <f t="shared" si="15"/>
        <v>24000</v>
      </c>
      <c r="E73" s="657">
        <f t="shared" si="16"/>
        <v>12</v>
      </c>
      <c r="F73" s="690" t="s">
        <v>296</v>
      </c>
      <c r="G73" s="658">
        <f t="shared" si="17"/>
        <v>2000</v>
      </c>
      <c r="H73" s="541">
        <f t="shared" si="18"/>
        <v>2000</v>
      </c>
      <c r="I73" s="456">
        <f t="shared" si="18"/>
        <v>2000</v>
      </c>
      <c r="J73" s="456">
        <f t="shared" si="18"/>
        <v>2000</v>
      </c>
      <c r="K73" s="456">
        <f t="shared" si="18"/>
        <v>2000</v>
      </c>
      <c r="L73" s="456">
        <f t="shared" si="18"/>
        <v>2000</v>
      </c>
      <c r="M73" s="456">
        <f t="shared" si="18"/>
        <v>2000</v>
      </c>
      <c r="N73" s="456">
        <f t="shared" si="18"/>
        <v>2000</v>
      </c>
      <c r="O73" s="456">
        <f t="shared" si="18"/>
        <v>2000</v>
      </c>
      <c r="P73" s="456">
        <f t="shared" si="18"/>
        <v>2000</v>
      </c>
      <c r="Q73" s="456">
        <f t="shared" si="18"/>
        <v>2000</v>
      </c>
      <c r="R73" s="456">
        <f t="shared" si="18"/>
        <v>2000</v>
      </c>
      <c r="S73" s="576">
        <f t="shared" si="18"/>
        <v>2000</v>
      </c>
    </row>
    <row r="74" spans="1:19" s="25" customFormat="1" ht="12.75" outlineLevel="1">
      <c r="A74" s="331"/>
      <c r="B74" s="339" t="s">
        <v>313</v>
      </c>
      <c r="C74" s="47" t="s">
        <v>277</v>
      </c>
      <c r="D74" s="357">
        <f t="shared" si="15"/>
        <v>1500</v>
      </c>
      <c r="E74" s="657">
        <f t="shared" si="16"/>
        <v>3</v>
      </c>
      <c r="F74" s="690" t="s">
        <v>314</v>
      </c>
      <c r="G74" s="658">
        <f t="shared" si="17"/>
        <v>500</v>
      </c>
      <c r="H74" s="541">
        <f t="shared" si="18"/>
        <v>0</v>
      </c>
      <c r="I74" s="456">
        <f t="shared" si="18"/>
        <v>0</v>
      </c>
      <c r="J74" s="456">
        <f t="shared" si="18"/>
        <v>0</v>
      </c>
      <c r="K74" s="456">
        <f t="shared" si="18"/>
        <v>500</v>
      </c>
      <c r="L74" s="456">
        <f t="shared" si="18"/>
        <v>0</v>
      </c>
      <c r="M74" s="456">
        <f t="shared" si="18"/>
        <v>0</v>
      </c>
      <c r="N74" s="456">
        <f t="shared" si="18"/>
        <v>0</v>
      </c>
      <c r="O74" s="456">
        <f t="shared" si="18"/>
        <v>500</v>
      </c>
      <c r="P74" s="456">
        <f t="shared" si="18"/>
        <v>0</v>
      </c>
      <c r="Q74" s="456">
        <f t="shared" si="18"/>
        <v>0</v>
      </c>
      <c r="R74" s="456">
        <f t="shared" si="18"/>
        <v>0</v>
      </c>
      <c r="S74" s="576">
        <f t="shared" si="18"/>
        <v>500</v>
      </c>
    </row>
    <row r="75" spans="1:19" s="25" customFormat="1" ht="12.75" outlineLevel="1">
      <c r="A75" s="331"/>
      <c r="B75" s="339"/>
      <c r="C75" s="47" t="s">
        <v>277</v>
      </c>
      <c r="D75" s="357"/>
      <c r="E75" s="664"/>
      <c r="F75" s="690"/>
      <c r="G75" s="665"/>
      <c r="H75" s="541"/>
      <c r="I75" s="456"/>
      <c r="J75" s="456"/>
      <c r="K75" s="456"/>
      <c r="L75" s="456"/>
      <c r="M75" s="456"/>
      <c r="N75" s="456"/>
      <c r="O75" s="456"/>
      <c r="P75" s="456"/>
      <c r="Q75" s="456"/>
      <c r="R75" s="456"/>
      <c r="S75" s="576"/>
    </row>
    <row r="76" spans="1:19" s="25" customFormat="1" ht="12.75" outlineLevel="1">
      <c r="A76" s="331"/>
      <c r="B76" s="342" t="s">
        <v>234</v>
      </c>
      <c r="C76" s="343"/>
      <c r="D76" s="370">
        <f>SUM(D70:D75)</f>
        <v>97500</v>
      </c>
      <c r="E76" s="666"/>
      <c r="F76" s="691"/>
      <c r="G76" s="667"/>
      <c r="H76" s="659">
        <f>SUM(H70:H75)</f>
        <v>9250</v>
      </c>
      <c r="I76" s="457">
        <f>SUM(I70:I75)</f>
        <v>7750</v>
      </c>
      <c r="J76" s="457">
        <f t="shared" ref="J76:S76" si="19">SUM(J70:J75)</f>
        <v>7750</v>
      </c>
      <c r="K76" s="457">
        <f t="shared" si="19"/>
        <v>8250</v>
      </c>
      <c r="L76" s="457">
        <f t="shared" si="19"/>
        <v>7750</v>
      </c>
      <c r="M76" s="457">
        <f t="shared" si="19"/>
        <v>7750</v>
      </c>
      <c r="N76" s="457">
        <f t="shared" si="19"/>
        <v>9250</v>
      </c>
      <c r="O76" s="457">
        <f t="shared" si="19"/>
        <v>8250</v>
      </c>
      <c r="P76" s="457">
        <f t="shared" si="19"/>
        <v>7750</v>
      </c>
      <c r="Q76" s="457">
        <f t="shared" si="19"/>
        <v>7750</v>
      </c>
      <c r="R76" s="457">
        <f t="shared" si="19"/>
        <v>7750</v>
      </c>
      <c r="S76" s="584">
        <f t="shared" si="19"/>
        <v>8250</v>
      </c>
    </row>
    <row r="77" spans="1:19" s="25" customFormat="1" ht="12.75" outlineLevel="1">
      <c r="A77" s="331"/>
      <c r="D77" s="49"/>
      <c r="E77" s="49"/>
      <c r="F77" s="692"/>
      <c r="G77" s="332"/>
      <c r="H77" s="669"/>
      <c r="I77" s="669"/>
      <c r="J77" s="669"/>
      <c r="K77" s="669"/>
      <c r="L77" s="669"/>
      <c r="M77" s="669"/>
      <c r="N77" s="669"/>
      <c r="O77" s="669"/>
      <c r="P77" s="669"/>
      <c r="Q77" s="669"/>
      <c r="R77" s="669"/>
      <c r="S77" s="669"/>
    </row>
    <row r="78" spans="1:19" s="25" customFormat="1" ht="12.75" outlineLevel="1">
      <c r="A78" s="331"/>
      <c r="B78" s="371" t="s">
        <v>278</v>
      </c>
      <c r="C78" s="47"/>
      <c r="D78" s="226"/>
      <c r="E78" s="662"/>
      <c r="F78" s="689"/>
      <c r="G78" s="663"/>
      <c r="H78" s="654"/>
      <c r="I78" s="655"/>
      <c r="J78" s="655"/>
      <c r="K78" s="655"/>
      <c r="L78" s="655"/>
      <c r="M78" s="655"/>
      <c r="N78" s="655"/>
      <c r="O78" s="655"/>
      <c r="P78" s="655"/>
      <c r="Q78" s="655"/>
      <c r="R78" s="655"/>
      <c r="S78" s="656"/>
    </row>
    <row r="79" spans="1:19" s="25" customFormat="1" ht="12.75" outlineLevel="1">
      <c r="A79" s="331"/>
      <c r="B79" s="339" t="s">
        <v>181</v>
      </c>
      <c r="C79" s="47" t="s">
        <v>278</v>
      </c>
      <c r="D79" s="357">
        <f>SUM(H79:S79)</f>
        <v>1420</v>
      </c>
      <c r="E79" s="657">
        <f>E137</f>
        <v>142</v>
      </c>
      <c r="F79" s="690" t="str">
        <f>B79</f>
        <v>Doctors</v>
      </c>
      <c r="G79" s="658">
        <f>G137</f>
        <v>10</v>
      </c>
      <c r="H79" s="541">
        <f>H137*$G137</f>
        <v>110</v>
      </c>
      <c r="I79" s="456">
        <f t="shared" ref="I79:S79" si="20">I137*$G137</f>
        <v>110</v>
      </c>
      <c r="J79" s="456">
        <f t="shared" si="20"/>
        <v>120</v>
      </c>
      <c r="K79" s="456">
        <f t="shared" si="20"/>
        <v>120</v>
      </c>
      <c r="L79" s="456">
        <f t="shared" si="20"/>
        <v>120</v>
      </c>
      <c r="M79" s="456">
        <f t="shared" si="20"/>
        <v>120</v>
      </c>
      <c r="N79" s="456">
        <f t="shared" si="20"/>
        <v>120</v>
      </c>
      <c r="O79" s="456">
        <f t="shared" si="20"/>
        <v>120</v>
      </c>
      <c r="P79" s="456">
        <f t="shared" si="20"/>
        <v>120</v>
      </c>
      <c r="Q79" s="456">
        <f t="shared" si="20"/>
        <v>120</v>
      </c>
      <c r="R79" s="456">
        <f t="shared" si="20"/>
        <v>120</v>
      </c>
      <c r="S79" s="576">
        <f t="shared" si="20"/>
        <v>120</v>
      </c>
    </row>
    <row r="80" spans="1:19" s="25" customFormat="1" ht="12.75" outlineLevel="1">
      <c r="A80" s="331"/>
      <c r="B80" s="339" t="s">
        <v>315</v>
      </c>
      <c r="C80" s="47" t="s">
        <v>278</v>
      </c>
      <c r="D80" s="357">
        <f t="shared" ref="D80:D81" si="21">SUM(H80:S80)</f>
        <v>2710</v>
      </c>
      <c r="E80" s="657">
        <f t="shared" ref="E80:E81" si="22">E138</f>
        <v>271</v>
      </c>
      <c r="F80" s="690" t="str">
        <f t="shared" ref="F80" si="23">B80</f>
        <v>Technicians/Nurses</v>
      </c>
      <c r="G80" s="658">
        <f t="shared" ref="G80:G81" si="24">G138</f>
        <v>10</v>
      </c>
      <c r="H80" s="541">
        <f t="shared" ref="H80:S81" si="25">H138*$G138</f>
        <v>210</v>
      </c>
      <c r="I80" s="456">
        <f t="shared" si="25"/>
        <v>210</v>
      </c>
      <c r="J80" s="456">
        <f t="shared" si="25"/>
        <v>210</v>
      </c>
      <c r="K80" s="456">
        <f t="shared" si="25"/>
        <v>210</v>
      </c>
      <c r="L80" s="456">
        <f t="shared" si="25"/>
        <v>210</v>
      </c>
      <c r="M80" s="456">
        <f t="shared" si="25"/>
        <v>220</v>
      </c>
      <c r="N80" s="456">
        <f t="shared" si="25"/>
        <v>240</v>
      </c>
      <c r="O80" s="456">
        <f t="shared" si="25"/>
        <v>240</v>
      </c>
      <c r="P80" s="456">
        <f t="shared" si="25"/>
        <v>240</v>
      </c>
      <c r="Q80" s="456">
        <f t="shared" si="25"/>
        <v>240</v>
      </c>
      <c r="R80" s="456">
        <f t="shared" si="25"/>
        <v>240</v>
      </c>
      <c r="S80" s="576">
        <f t="shared" si="25"/>
        <v>240</v>
      </c>
    </row>
    <row r="81" spans="1:19" s="25" customFormat="1" ht="12.75" outlineLevel="1">
      <c r="A81" s="331"/>
      <c r="B81" s="339" t="s">
        <v>350</v>
      </c>
      <c r="C81" s="47" t="s">
        <v>278</v>
      </c>
      <c r="D81" s="357">
        <f t="shared" si="21"/>
        <v>2720</v>
      </c>
      <c r="E81" s="657">
        <f t="shared" si="22"/>
        <v>272</v>
      </c>
      <c r="F81" s="690" t="s">
        <v>237</v>
      </c>
      <c r="G81" s="658">
        <f t="shared" si="24"/>
        <v>10</v>
      </c>
      <c r="H81" s="541">
        <f t="shared" si="25"/>
        <v>180</v>
      </c>
      <c r="I81" s="456">
        <f t="shared" si="25"/>
        <v>180</v>
      </c>
      <c r="J81" s="456">
        <f t="shared" si="25"/>
        <v>190</v>
      </c>
      <c r="K81" s="456">
        <f t="shared" si="25"/>
        <v>200</v>
      </c>
      <c r="L81" s="456">
        <f t="shared" si="25"/>
        <v>210</v>
      </c>
      <c r="M81" s="456">
        <f t="shared" si="25"/>
        <v>220</v>
      </c>
      <c r="N81" s="456">
        <f t="shared" si="25"/>
        <v>250</v>
      </c>
      <c r="O81" s="456">
        <f t="shared" si="25"/>
        <v>250</v>
      </c>
      <c r="P81" s="456">
        <f t="shared" si="25"/>
        <v>260</v>
      </c>
      <c r="Q81" s="456">
        <f t="shared" si="25"/>
        <v>260</v>
      </c>
      <c r="R81" s="456">
        <f t="shared" si="25"/>
        <v>260</v>
      </c>
      <c r="S81" s="576">
        <f t="shared" si="25"/>
        <v>260</v>
      </c>
    </row>
    <row r="82" spans="1:19" s="25" customFormat="1" ht="12.75" outlineLevel="1">
      <c r="A82" s="331"/>
      <c r="B82" s="339"/>
      <c r="C82" s="47" t="s">
        <v>278</v>
      </c>
      <c r="D82" s="357"/>
      <c r="E82" s="664"/>
      <c r="F82" s="690"/>
      <c r="G82" s="665"/>
      <c r="H82" s="541"/>
      <c r="I82" s="456"/>
      <c r="J82" s="456"/>
      <c r="K82" s="456"/>
      <c r="L82" s="456"/>
      <c r="M82" s="456"/>
      <c r="N82" s="456"/>
      <c r="O82" s="456"/>
      <c r="P82" s="456"/>
      <c r="Q82" s="456"/>
      <c r="R82" s="456"/>
      <c r="S82" s="576"/>
    </row>
    <row r="83" spans="1:19" s="25" customFormat="1" ht="12.75" outlineLevel="1">
      <c r="A83" s="331"/>
      <c r="B83" s="342" t="s">
        <v>234</v>
      </c>
      <c r="C83" s="343"/>
      <c r="D83" s="370">
        <f>SUM(D79:D82)</f>
        <v>6850</v>
      </c>
      <c r="E83" s="666"/>
      <c r="F83" s="691"/>
      <c r="G83" s="667"/>
      <c r="H83" s="659">
        <f t="shared" ref="H83:S83" si="26">SUM(H79:H82)</f>
        <v>500</v>
      </c>
      <c r="I83" s="457">
        <f t="shared" si="26"/>
        <v>500</v>
      </c>
      <c r="J83" s="457">
        <f t="shared" si="26"/>
        <v>520</v>
      </c>
      <c r="K83" s="457">
        <f t="shared" si="26"/>
        <v>530</v>
      </c>
      <c r="L83" s="457">
        <f t="shared" si="26"/>
        <v>540</v>
      </c>
      <c r="M83" s="457">
        <f t="shared" si="26"/>
        <v>560</v>
      </c>
      <c r="N83" s="457">
        <f t="shared" si="26"/>
        <v>610</v>
      </c>
      <c r="O83" s="457">
        <f t="shared" si="26"/>
        <v>610</v>
      </c>
      <c r="P83" s="457">
        <f t="shared" si="26"/>
        <v>620</v>
      </c>
      <c r="Q83" s="457">
        <f t="shared" si="26"/>
        <v>620</v>
      </c>
      <c r="R83" s="457">
        <f t="shared" si="26"/>
        <v>620</v>
      </c>
      <c r="S83" s="584">
        <f t="shared" si="26"/>
        <v>620</v>
      </c>
    </row>
    <row r="84" spans="1:19" s="25" customFormat="1" ht="12.75" outlineLevel="1">
      <c r="A84" s="331"/>
      <c r="D84" s="49"/>
      <c r="E84" s="49"/>
      <c r="F84" s="692"/>
      <c r="G84" s="332"/>
      <c r="H84" s="669"/>
      <c r="I84" s="669"/>
      <c r="J84" s="669"/>
      <c r="K84" s="669"/>
      <c r="L84" s="669"/>
      <c r="M84" s="669"/>
      <c r="N84" s="669"/>
      <c r="O84" s="669"/>
      <c r="P84" s="669"/>
      <c r="Q84" s="669"/>
      <c r="R84" s="669"/>
      <c r="S84" s="669"/>
    </row>
    <row r="85" spans="1:19" s="25" customFormat="1" ht="12.75" outlineLevel="1">
      <c r="A85" s="331"/>
      <c r="B85" s="371" t="s">
        <v>279</v>
      </c>
      <c r="C85" s="47"/>
      <c r="D85" s="226"/>
      <c r="E85" s="662"/>
      <c r="F85" s="689"/>
      <c r="G85" s="663"/>
      <c r="H85" s="654"/>
      <c r="I85" s="655"/>
      <c r="J85" s="655"/>
      <c r="K85" s="655"/>
      <c r="L85" s="655"/>
      <c r="M85" s="655"/>
      <c r="N85" s="655"/>
      <c r="O85" s="655"/>
      <c r="P85" s="655"/>
      <c r="Q85" s="655"/>
      <c r="R85" s="655"/>
      <c r="S85" s="656"/>
    </row>
    <row r="86" spans="1:19" s="25" customFormat="1" ht="12.75" outlineLevel="1">
      <c r="A86" s="331"/>
      <c r="B86" s="339" t="s">
        <v>316</v>
      </c>
      <c r="C86" s="47" t="s">
        <v>279</v>
      </c>
      <c r="D86" s="357">
        <f ca="1">SUM(H86:S86)</f>
        <v>200668.14999999994</v>
      </c>
      <c r="E86" s="803">
        <f>E144</f>
        <v>0.05</v>
      </c>
      <c r="F86" s="690" t="s">
        <v>317</v>
      </c>
      <c r="G86" s="658">
        <f ca="1">G144</f>
        <v>4013363</v>
      </c>
      <c r="H86" s="541">
        <f ca="1">H144*$G144</f>
        <v>16722.345833333333</v>
      </c>
      <c r="I86" s="456">
        <f t="shared" ref="I86:S86" ca="1" si="27">I144*$G144</f>
        <v>16722.345833333333</v>
      </c>
      <c r="J86" s="456">
        <f t="shared" ca="1" si="27"/>
        <v>16722.345833333333</v>
      </c>
      <c r="K86" s="456">
        <f t="shared" ca="1" si="27"/>
        <v>16722.345833333333</v>
      </c>
      <c r="L86" s="456">
        <f t="shared" ca="1" si="27"/>
        <v>16722.345833333333</v>
      </c>
      <c r="M86" s="456">
        <f t="shared" ca="1" si="27"/>
        <v>16722.345833333333</v>
      </c>
      <c r="N86" s="456">
        <f t="shared" ca="1" si="27"/>
        <v>16722.345833333333</v>
      </c>
      <c r="O86" s="456">
        <f t="shared" ca="1" si="27"/>
        <v>16722.345833333333</v>
      </c>
      <c r="P86" s="456">
        <f t="shared" ca="1" si="27"/>
        <v>16722.345833333333</v>
      </c>
      <c r="Q86" s="456">
        <f t="shared" ca="1" si="27"/>
        <v>16722.345833333333</v>
      </c>
      <c r="R86" s="456">
        <f t="shared" ca="1" si="27"/>
        <v>16722.345833333333</v>
      </c>
      <c r="S86" s="576">
        <f t="shared" ca="1" si="27"/>
        <v>16722.345833333333</v>
      </c>
    </row>
    <row r="87" spans="1:19" s="25" customFormat="1" ht="12.75" outlineLevel="1">
      <c r="A87" s="331"/>
      <c r="B87" s="339" t="s">
        <v>318</v>
      </c>
      <c r="C87" s="47" t="s">
        <v>279</v>
      </c>
      <c r="D87" s="357">
        <f t="shared" ref="D87:D90" si="28">SUM(H87:S87)</f>
        <v>135680.1</v>
      </c>
      <c r="E87" s="803">
        <f t="shared" ref="E87:E90" si="29">E145</f>
        <v>0.05</v>
      </c>
      <c r="F87" s="690" t="s">
        <v>317</v>
      </c>
      <c r="G87" s="658">
        <f t="shared" ref="G87:G90" si="30">G145</f>
        <v>2713602</v>
      </c>
      <c r="H87" s="541">
        <f t="shared" ref="H87:S90" si="31">H145*$G145</f>
        <v>11306.674999999999</v>
      </c>
      <c r="I87" s="456">
        <f t="shared" si="31"/>
        <v>11306.674999999999</v>
      </c>
      <c r="J87" s="456">
        <f t="shared" si="31"/>
        <v>11306.674999999999</v>
      </c>
      <c r="K87" s="456">
        <f t="shared" si="31"/>
        <v>11306.674999999999</v>
      </c>
      <c r="L87" s="456">
        <f t="shared" si="31"/>
        <v>11306.674999999999</v>
      </c>
      <c r="M87" s="456">
        <f t="shared" si="31"/>
        <v>11306.674999999999</v>
      </c>
      <c r="N87" s="456">
        <f t="shared" si="31"/>
        <v>11306.674999999999</v>
      </c>
      <c r="O87" s="456">
        <f t="shared" si="31"/>
        <v>11306.674999999999</v>
      </c>
      <c r="P87" s="456">
        <f t="shared" si="31"/>
        <v>11306.674999999999</v>
      </c>
      <c r="Q87" s="456">
        <f t="shared" si="31"/>
        <v>11306.674999999999</v>
      </c>
      <c r="R87" s="456">
        <f t="shared" si="31"/>
        <v>11306.674999999999</v>
      </c>
      <c r="S87" s="576">
        <f t="shared" si="31"/>
        <v>11306.674999999999</v>
      </c>
    </row>
    <row r="88" spans="1:19" s="25" customFormat="1" ht="12.75" outlineLevel="1">
      <c r="A88" s="331"/>
      <c r="B88" s="339" t="s">
        <v>319</v>
      </c>
      <c r="C88" s="47" t="s">
        <v>279</v>
      </c>
      <c r="D88" s="357">
        <f t="shared" ca="1" si="28"/>
        <v>8199.9999999999982</v>
      </c>
      <c r="E88" s="803">
        <f t="shared" si="29"/>
        <v>0.05</v>
      </c>
      <c r="F88" s="690" t="s">
        <v>320</v>
      </c>
      <c r="G88" s="658">
        <f t="shared" ca="1" si="30"/>
        <v>164000</v>
      </c>
      <c r="H88" s="541">
        <f t="shared" ca="1" si="31"/>
        <v>683.33333333333337</v>
      </c>
      <c r="I88" s="456">
        <f t="shared" ca="1" si="31"/>
        <v>683.33333333333337</v>
      </c>
      <c r="J88" s="456">
        <f t="shared" ca="1" si="31"/>
        <v>683.33333333333337</v>
      </c>
      <c r="K88" s="456">
        <f t="shared" ca="1" si="31"/>
        <v>683.33333333333337</v>
      </c>
      <c r="L88" s="456">
        <f t="shared" ca="1" si="31"/>
        <v>683.33333333333337</v>
      </c>
      <c r="M88" s="456">
        <f t="shared" ca="1" si="31"/>
        <v>683.33333333333337</v>
      </c>
      <c r="N88" s="456">
        <f t="shared" ca="1" si="31"/>
        <v>683.33333333333337</v>
      </c>
      <c r="O88" s="456">
        <f t="shared" ca="1" si="31"/>
        <v>683.33333333333337</v>
      </c>
      <c r="P88" s="456">
        <f t="shared" ca="1" si="31"/>
        <v>683.33333333333337</v>
      </c>
      <c r="Q88" s="456">
        <f t="shared" ca="1" si="31"/>
        <v>683.33333333333337</v>
      </c>
      <c r="R88" s="456">
        <f t="shared" ca="1" si="31"/>
        <v>683.33333333333337</v>
      </c>
      <c r="S88" s="576">
        <f t="shared" ca="1" si="31"/>
        <v>683.33333333333337</v>
      </c>
    </row>
    <row r="89" spans="1:19" s="25" customFormat="1" ht="12.75" outlineLevel="1">
      <c r="A89" s="331"/>
      <c r="B89" s="339" t="s">
        <v>321</v>
      </c>
      <c r="C89" s="47" t="s">
        <v>279</v>
      </c>
      <c r="D89" s="357">
        <f t="shared" ca="1" si="28"/>
        <v>2151.9999999999995</v>
      </c>
      <c r="E89" s="803">
        <f t="shared" si="29"/>
        <v>0.05</v>
      </c>
      <c r="F89" s="690" t="s">
        <v>322</v>
      </c>
      <c r="G89" s="658">
        <f t="shared" ca="1" si="30"/>
        <v>43040</v>
      </c>
      <c r="H89" s="541">
        <f t="shared" ca="1" si="31"/>
        <v>179.33333333333334</v>
      </c>
      <c r="I89" s="456">
        <f t="shared" ca="1" si="31"/>
        <v>179.33333333333334</v>
      </c>
      <c r="J89" s="456">
        <f t="shared" ca="1" si="31"/>
        <v>179.33333333333334</v>
      </c>
      <c r="K89" s="456">
        <f t="shared" ca="1" si="31"/>
        <v>179.33333333333334</v>
      </c>
      <c r="L89" s="456">
        <f t="shared" ca="1" si="31"/>
        <v>179.33333333333334</v>
      </c>
      <c r="M89" s="456">
        <f t="shared" ca="1" si="31"/>
        <v>179.33333333333334</v>
      </c>
      <c r="N89" s="456">
        <f t="shared" ca="1" si="31"/>
        <v>179.33333333333334</v>
      </c>
      <c r="O89" s="456">
        <f t="shared" ca="1" si="31"/>
        <v>179.33333333333334</v>
      </c>
      <c r="P89" s="456">
        <f t="shared" ca="1" si="31"/>
        <v>179.33333333333334</v>
      </c>
      <c r="Q89" s="456">
        <f t="shared" ca="1" si="31"/>
        <v>179.33333333333334</v>
      </c>
      <c r="R89" s="456">
        <f t="shared" ca="1" si="31"/>
        <v>179.33333333333334</v>
      </c>
      <c r="S89" s="576">
        <f t="shared" ca="1" si="31"/>
        <v>179.33333333333334</v>
      </c>
    </row>
    <row r="90" spans="1:19" s="25" customFormat="1" ht="12.75" outlineLevel="1">
      <c r="A90" s="331"/>
      <c r="B90" s="339" t="s">
        <v>198</v>
      </c>
      <c r="C90" s="47" t="s">
        <v>279</v>
      </c>
      <c r="D90" s="357">
        <f t="shared" ca="1" si="28"/>
        <v>15484.850000000004</v>
      </c>
      <c r="E90" s="803">
        <f t="shared" si="29"/>
        <v>0.05</v>
      </c>
      <c r="F90" s="690" t="s">
        <v>323</v>
      </c>
      <c r="G90" s="658">
        <f t="shared" ca="1" si="30"/>
        <v>309697</v>
      </c>
      <c r="H90" s="541">
        <f t="shared" ca="1" si="31"/>
        <v>1290.4041666666667</v>
      </c>
      <c r="I90" s="456">
        <f t="shared" ca="1" si="31"/>
        <v>1290.4041666666667</v>
      </c>
      <c r="J90" s="456">
        <f t="shared" ca="1" si="31"/>
        <v>1290.4041666666667</v>
      </c>
      <c r="K90" s="456">
        <f t="shared" ca="1" si="31"/>
        <v>1290.4041666666667</v>
      </c>
      <c r="L90" s="456">
        <f t="shared" ca="1" si="31"/>
        <v>1290.4041666666667</v>
      </c>
      <c r="M90" s="456">
        <f t="shared" ca="1" si="31"/>
        <v>1290.4041666666667</v>
      </c>
      <c r="N90" s="456">
        <f t="shared" ca="1" si="31"/>
        <v>1290.4041666666667</v>
      </c>
      <c r="O90" s="456">
        <f t="shared" ca="1" si="31"/>
        <v>1290.4041666666667</v>
      </c>
      <c r="P90" s="456">
        <f t="shared" ca="1" si="31"/>
        <v>1290.4041666666667</v>
      </c>
      <c r="Q90" s="456">
        <f t="shared" ca="1" si="31"/>
        <v>1290.4041666666667</v>
      </c>
      <c r="R90" s="456">
        <f t="shared" ca="1" si="31"/>
        <v>1290.4041666666667</v>
      </c>
      <c r="S90" s="576">
        <f t="shared" ca="1" si="31"/>
        <v>1290.4041666666667</v>
      </c>
    </row>
    <row r="91" spans="1:19" s="25" customFormat="1" ht="12.75" outlineLevel="1">
      <c r="A91" s="331"/>
      <c r="B91" s="339"/>
      <c r="C91" s="47" t="s">
        <v>279</v>
      </c>
      <c r="D91" s="357"/>
      <c r="E91" s="664"/>
      <c r="F91" s="690"/>
      <c r="G91" s="665"/>
      <c r="H91" s="541"/>
      <c r="I91" s="456"/>
      <c r="J91" s="456"/>
      <c r="K91" s="456"/>
      <c r="L91" s="456"/>
      <c r="M91" s="456"/>
      <c r="N91" s="456"/>
      <c r="O91" s="456"/>
      <c r="P91" s="456"/>
      <c r="Q91" s="456"/>
      <c r="R91" s="456"/>
      <c r="S91" s="576"/>
    </row>
    <row r="92" spans="1:19" s="25" customFormat="1" ht="12.75" outlineLevel="1">
      <c r="A92" s="331"/>
      <c r="B92" s="342" t="s">
        <v>234</v>
      </c>
      <c r="C92" s="343"/>
      <c r="D92" s="370">
        <f ca="1">SUM(D86:D91)</f>
        <v>362185.09999999992</v>
      </c>
      <c r="E92" s="666"/>
      <c r="F92" s="691"/>
      <c r="G92" s="667"/>
      <c r="H92" s="659">
        <f ca="1">SUM(H86:H91)</f>
        <v>30182.091666666664</v>
      </c>
      <c r="I92" s="457">
        <f ca="1">SUM(I86:I91)</f>
        <v>30182.091666666664</v>
      </c>
      <c r="J92" s="457">
        <f t="shared" ref="J92:S92" ca="1" si="32">SUM(J86:J91)</f>
        <v>30182.091666666664</v>
      </c>
      <c r="K92" s="457">
        <f t="shared" ca="1" si="32"/>
        <v>30182.091666666664</v>
      </c>
      <c r="L92" s="457">
        <f t="shared" ca="1" si="32"/>
        <v>30182.091666666664</v>
      </c>
      <c r="M92" s="457">
        <f t="shared" ca="1" si="32"/>
        <v>30182.091666666664</v>
      </c>
      <c r="N92" s="457">
        <f t="shared" ca="1" si="32"/>
        <v>30182.091666666664</v>
      </c>
      <c r="O92" s="457">
        <f t="shared" ca="1" si="32"/>
        <v>30182.091666666664</v>
      </c>
      <c r="P92" s="457">
        <f t="shared" ca="1" si="32"/>
        <v>30182.091666666664</v>
      </c>
      <c r="Q92" s="457">
        <f t="shared" ca="1" si="32"/>
        <v>30182.091666666664</v>
      </c>
      <c r="R92" s="457">
        <f t="shared" ca="1" si="32"/>
        <v>30182.091666666664</v>
      </c>
      <c r="S92" s="584">
        <f t="shared" ca="1" si="32"/>
        <v>30182.091666666664</v>
      </c>
    </row>
    <row r="93" spans="1:19" s="25" customFormat="1" ht="12.75" outlineLevel="1">
      <c r="A93" s="331"/>
      <c r="D93" s="49"/>
      <c r="E93" s="49"/>
      <c r="F93" s="692"/>
      <c r="G93" s="332"/>
      <c r="H93" s="669"/>
      <c r="I93" s="669"/>
      <c r="J93" s="669"/>
      <c r="K93" s="669"/>
      <c r="L93" s="669"/>
      <c r="M93" s="669"/>
      <c r="N93" s="669"/>
      <c r="O93" s="669"/>
      <c r="P93" s="669"/>
      <c r="Q93" s="669"/>
      <c r="R93" s="669"/>
      <c r="S93" s="669"/>
    </row>
    <row r="94" spans="1:19" s="25" customFormat="1" ht="12.75" outlineLevel="1">
      <c r="A94" s="331"/>
      <c r="B94" s="371" t="s">
        <v>198</v>
      </c>
      <c r="C94" s="47"/>
      <c r="D94" s="226"/>
      <c r="E94" s="662"/>
      <c r="F94" s="689"/>
      <c r="G94" s="663"/>
      <c r="H94" s="654"/>
      <c r="I94" s="655"/>
      <c r="J94" s="655"/>
      <c r="K94" s="655"/>
      <c r="L94" s="655"/>
      <c r="M94" s="655"/>
      <c r="N94" s="655"/>
      <c r="O94" s="655"/>
      <c r="P94" s="655"/>
      <c r="Q94" s="655"/>
      <c r="R94" s="655"/>
      <c r="S94" s="656"/>
    </row>
    <row r="95" spans="1:19" s="25" customFormat="1" ht="12.75" outlineLevel="1">
      <c r="A95" s="331"/>
      <c r="B95" s="339" t="s">
        <v>324</v>
      </c>
      <c r="C95" s="47" t="s">
        <v>198</v>
      </c>
      <c r="D95" s="357">
        <f>SUM(H95:S95)</f>
        <v>49484.012082674839</v>
      </c>
      <c r="E95" s="657">
        <f>E153</f>
        <v>12</v>
      </c>
      <c r="F95" s="690"/>
      <c r="G95" s="658">
        <f>G153</f>
        <v>4123.6676735562369</v>
      </c>
      <c r="H95" s="541">
        <f>H153*$G153</f>
        <v>4123.6676735562369</v>
      </c>
      <c r="I95" s="456">
        <f t="shared" ref="I95:S95" si="33">I153*$G153</f>
        <v>4123.6676735562369</v>
      </c>
      <c r="J95" s="456">
        <f t="shared" si="33"/>
        <v>4123.6676735562369</v>
      </c>
      <c r="K95" s="456">
        <f t="shared" si="33"/>
        <v>4123.6676735562369</v>
      </c>
      <c r="L95" s="456">
        <f t="shared" si="33"/>
        <v>4123.6676735562369</v>
      </c>
      <c r="M95" s="456">
        <f t="shared" si="33"/>
        <v>4123.6676735562369</v>
      </c>
      <c r="N95" s="456">
        <f t="shared" si="33"/>
        <v>4123.6676735562369</v>
      </c>
      <c r="O95" s="456">
        <f t="shared" si="33"/>
        <v>4123.6676735562369</v>
      </c>
      <c r="P95" s="456">
        <f t="shared" si="33"/>
        <v>4123.6676735562369</v>
      </c>
      <c r="Q95" s="456">
        <f t="shared" si="33"/>
        <v>4123.6676735562369</v>
      </c>
      <c r="R95" s="456">
        <f t="shared" si="33"/>
        <v>4123.6676735562369</v>
      </c>
      <c r="S95" s="576">
        <f t="shared" si="33"/>
        <v>4123.6676735562369</v>
      </c>
    </row>
    <row r="96" spans="1:19" s="25" customFormat="1" ht="12.75" outlineLevel="1">
      <c r="A96" s="331"/>
      <c r="B96" s="339" t="s">
        <v>325</v>
      </c>
      <c r="C96" s="47" t="s">
        <v>198</v>
      </c>
      <c r="D96" s="357">
        <f t="shared" ref="D96:D99" si="34">SUM(H96:S96)</f>
        <v>500</v>
      </c>
      <c r="E96" s="657">
        <f t="shared" ref="E96:E99" si="35">E154</f>
        <v>1</v>
      </c>
      <c r="F96" s="690" t="s">
        <v>296</v>
      </c>
      <c r="G96" s="658">
        <f t="shared" ref="G96:G99" si="36">G154</f>
        <v>500</v>
      </c>
      <c r="H96" s="541">
        <f t="shared" ref="H96:S99" si="37">H154*$G154</f>
        <v>0</v>
      </c>
      <c r="I96" s="456">
        <f t="shared" si="37"/>
        <v>0</v>
      </c>
      <c r="J96" s="456">
        <f t="shared" si="37"/>
        <v>0</v>
      </c>
      <c r="K96" s="456">
        <f t="shared" si="37"/>
        <v>0</v>
      </c>
      <c r="L96" s="456">
        <f t="shared" si="37"/>
        <v>500</v>
      </c>
      <c r="M96" s="456">
        <f t="shared" si="37"/>
        <v>0</v>
      </c>
      <c r="N96" s="456">
        <f t="shared" si="37"/>
        <v>0</v>
      </c>
      <c r="O96" s="456">
        <f t="shared" si="37"/>
        <v>0</v>
      </c>
      <c r="P96" s="456">
        <f t="shared" si="37"/>
        <v>0</v>
      </c>
      <c r="Q96" s="456">
        <f t="shared" si="37"/>
        <v>0</v>
      </c>
      <c r="R96" s="456">
        <f t="shared" si="37"/>
        <v>0</v>
      </c>
      <c r="S96" s="576">
        <f t="shared" si="37"/>
        <v>0</v>
      </c>
    </row>
    <row r="97" spans="1:42" s="25" customFormat="1" ht="12.75" outlineLevel="1">
      <c r="A97" s="331"/>
      <c r="B97" s="339" t="s">
        <v>326</v>
      </c>
      <c r="C97" s="47" t="s">
        <v>198</v>
      </c>
      <c r="D97" s="357">
        <f t="shared" si="34"/>
        <v>6000</v>
      </c>
      <c r="E97" s="657">
        <f t="shared" si="35"/>
        <v>12</v>
      </c>
      <c r="F97" s="690" t="s">
        <v>296</v>
      </c>
      <c r="G97" s="658">
        <f t="shared" si="36"/>
        <v>500</v>
      </c>
      <c r="H97" s="541">
        <f t="shared" si="37"/>
        <v>500</v>
      </c>
      <c r="I97" s="456">
        <f t="shared" si="37"/>
        <v>500</v>
      </c>
      <c r="J97" s="456">
        <f t="shared" si="37"/>
        <v>500</v>
      </c>
      <c r="K97" s="456">
        <f t="shared" si="37"/>
        <v>500</v>
      </c>
      <c r="L97" s="456">
        <f t="shared" si="37"/>
        <v>500</v>
      </c>
      <c r="M97" s="456">
        <f t="shared" si="37"/>
        <v>500</v>
      </c>
      <c r="N97" s="456">
        <f t="shared" si="37"/>
        <v>500</v>
      </c>
      <c r="O97" s="456">
        <f t="shared" si="37"/>
        <v>500</v>
      </c>
      <c r="P97" s="456">
        <f t="shared" si="37"/>
        <v>500</v>
      </c>
      <c r="Q97" s="456">
        <f t="shared" si="37"/>
        <v>500</v>
      </c>
      <c r="R97" s="456">
        <f t="shared" si="37"/>
        <v>500</v>
      </c>
      <c r="S97" s="576">
        <f t="shared" si="37"/>
        <v>500</v>
      </c>
    </row>
    <row r="98" spans="1:42" s="25" customFormat="1" ht="12.75" outlineLevel="1">
      <c r="A98" s="331"/>
      <c r="B98" s="339" t="s">
        <v>1030</v>
      </c>
      <c r="C98" s="47" t="s">
        <v>198</v>
      </c>
      <c r="D98" s="357">
        <f t="shared" si="34"/>
        <v>12000</v>
      </c>
      <c r="E98" s="657">
        <f t="shared" si="35"/>
        <v>12</v>
      </c>
      <c r="F98" s="690" t="s">
        <v>296</v>
      </c>
      <c r="G98" s="658">
        <f t="shared" si="36"/>
        <v>1000</v>
      </c>
      <c r="H98" s="541">
        <f t="shared" si="37"/>
        <v>1000</v>
      </c>
      <c r="I98" s="456">
        <f t="shared" si="37"/>
        <v>1000</v>
      </c>
      <c r="J98" s="456">
        <f t="shared" si="37"/>
        <v>1000</v>
      </c>
      <c r="K98" s="456">
        <f t="shared" si="37"/>
        <v>1000</v>
      </c>
      <c r="L98" s="456">
        <f t="shared" si="37"/>
        <v>1000</v>
      </c>
      <c r="M98" s="456">
        <f t="shared" si="37"/>
        <v>1000</v>
      </c>
      <c r="N98" s="456">
        <f t="shared" si="37"/>
        <v>1000</v>
      </c>
      <c r="O98" s="456">
        <f t="shared" si="37"/>
        <v>1000</v>
      </c>
      <c r="P98" s="456">
        <f t="shared" si="37"/>
        <v>1000</v>
      </c>
      <c r="Q98" s="456">
        <f t="shared" si="37"/>
        <v>1000</v>
      </c>
      <c r="R98" s="456">
        <f t="shared" si="37"/>
        <v>1000</v>
      </c>
      <c r="S98" s="576">
        <f t="shared" si="37"/>
        <v>1000</v>
      </c>
    </row>
    <row r="99" spans="1:42" s="25" customFormat="1" ht="12.75" outlineLevel="1">
      <c r="A99" s="331"/>
      <c r="B99" s="339" t="s">
        <v>328</v>
      </c>
      <c r="C99" s="47" t="s">
        <v>198</v>
      </c>
      <c r="D99" s="357">
        <f t="shared" si="34"/>
        <v>49484.012082674839</v>
      </c>
      <c r="E99" s="657">
        <f t="shared" si="35"/>
        <v>12</v>
      </c>
      <c r="F99" s="690" t="s">
        <v>296</v>
      </c>
      <c r="G99" s="658">
        <f t="shared" si="36"/>
        <v>4123.6676735562369</v>
      </c>
      <c r="H99" s="541">
        <f t="shared" si="37"/>
        <v>4123.6676735562369</v>
      </c>
      <c r="I99" s="456">
        <f t="shared" si="37"/>
        <v>4123.6676735562369</v>
      </c>
      <c r="J99" s="456">
        <f t="shared" si="37"/>
        <v>4123.6676735562369</v>
      </c>
      <c r="K99" s="456">
        <f t="shared" si="37"/>
        <v>4123.6676735562369</v>
      </c>
      <c r="L99" s="456">
        <f t="shared" si="37"/>
        <v>4123.6676735562369</v>
      </c>
      <c r="M99" s="456">
        <f t="shared" si="37"/>
        <v>4123.6676735562369</v>
      </c>
      <c r="N99" s="456">
        <f t="shared" si="37"/>
        <v>4123.6676735562369</v>
      </c>
      <c r="O99" s="456">
        <f t="shared" si="37"/>
        <v>4123.6676735562369</v>
      </c>
      <c r="P99" s="456">
        <f t="shared" si="37"/>
        <v>4123.6676735562369</v>
      </c>
      <c r="Q99" s="456">
        <f t="shared" si="37"/>
        <v>4123.6676735562369</v>
      </c>
      <c r="R99" s="456">
        <f t="shared" si="37"/>
        <v>4123.6676735562369</v>
      </c>
      <c r="S99" s="576">
        <f t="shared" si="37"/>
        <v>4123.6676735562369</v>
      </c>
    </row>
    <row r="100" spans="1:42" s="25" customFormat="1" ht="12.75" outlineLevel="1">
      <c r="A100" s="331"/>
      <c r="B100" s="339"/>
      <c r="C100" s="47" t="s">
        <v>198</v>
      </c>
      <c r="D100" s="357"/>
      <c r="E100" s="664"/>
      <c r="F100" s="690"/>
      <c r="G100" s="665"/>
      <c r="H100" s="541"/>
      <c r="I100" s="456"/>
      <c r="J100" s="456"/>
      <c r="K100" s="456"/>
      <c r="L100" s="456"/>
      <c r="M100" s="456"/>
      <c r="N100" s="456"/>
      <c r="O100" s="456"/>
      <c r="P100" s="456"/>
      <c r="Q100" s="456"/>
      <c r="R100" s="456"/>
      <c r="S100" s="576"/>
    </row>
    <row r="101" spans="1:42" s="25" customFormat="1" ht="12.75" outlineLevel="1">
      <c r="A101" s="331"/>
      <c r="B101" s="342" t="s">
        <v>234</v>
      </c>
      <c r="C101" s="343"/>
      <c r="D101" s="370">
        <f>SUM(D95:D100)</f>
        <v>117468.02416534966</v>
      </c>
      <c r="E101" s="666"/>
      <c r="F101" s="691"/>
      <c r="G101" s="667"/>
      <c r="H101" s="659">
        <f>SUM(H95:H100)</f>
        <v>9747.3353471124738</v>
      </c>
      <c r="I101" s="457">
        <f>SUM(I95:I100)</f>
        <v>9747.3353471124738</v>
      </c>
      <c r="J101" s="457">
        <f t="shared" ref="J101:S101" si="38">SUM(J95:J100)</f>
        <v>9747.3353471124738</v>
      </c>
      <c r="K101" s="457">
        <f t="shared" si="38"/>
        <v>9747.3353471124738</v>
      </c>
      <c r="L101" s="457">
        <f t="shared" si="38"/>
        <v>10247.335347112474</v>
      </c>
      <c r="M101" s="457">
        <f t="shared" si="38"/>
        <v>9747.3353471124738</v>
      </c>
      <c r="N101" s="457">
        <f t="shared" si="38"/>
        <v>9747.3353471124738</v>
      </c>
      <c r="O101" s="457">
        <f t="shared" si="38"/>
        <v>9747.3353471124738</v>
      </c>
      <c r="P101" s="457">
        <f t="shared" si="38"/>
        <v>9747.3353471124738</v>
      </c>
      <c r="Q101" s="457">
        <f t="shared" si="38"/>
        <v>9747.3353471124738</v>
      </c>
      <c r="R101" s="457">
        <f t="shared" si="38"/>
        <v>9747.3353471124738</v>
      </c>
      <c r="S101" s="584">
        <f t="shared" si="38"/>
        <v>9747.3353471124738</v>
      </c>
    </row>
    <row r="102" spans="1:42" s="25" customFormat="1" ht="12.75" outlineLevel="1">
      <c r="A102" s="331"/>
      <c r="B102" s="314"/>
      <c r="C102" s="314"/>
      <c r="D102" s="353"/>
      <c r="E102" s="670"/>
      <c r="F102" s="693"/>
      <c r="G102" s="670"/>
      <c r="H102" s="353"/>
      <c r="I102" s="353"/>
      <c r="J102" s="353"/>
      <c r="K102" s="353"/>
      <c r="L102" s="353"/>
      <c r="M102" s="353"/>
      <c r="N102" s="353"/>
      <c r="O102" s="353"/>
      <c r="P102" s="353"/>
      <c r="Q102" s="353"/>
      <c r="R102" s="353"/>
      <c r="S102" s="353"/>
    </row>
    <row r="103" spans="1:42" s="25" customFormat="1" ht="13.5" outlineLevel="1" thickBot="1">
      <c r="A103" s="331"/>
      <c r="B103" s="314" t="s">
        <v>972</v>
      </c>
      <c r="C103" s="314"/>
      <c r="D103" s="353"/>
      <c r="E103" s="670"/>
      <c r="F103" s="693"/>
      <c r="G103" s="670"/>
      <c r="H103" s="671">
        <f ca="1">H101+H92+H83+H76+H67+H60</f>
        <v>83884.928524113493</v>
      </c>
      <c r="I103" s="671">
        <f t="shared" ref="I103:S103" ca="1" si="39">I101+I92+I83+I76+I67+I60</f>
        <v>80384.928524113493</v>
      </c>
      <c r="J103" s="671">
        <f t="shared" ca="1" si="39"/>
        <v>82464.928524113493</v>
      </c>
      <c r="K103" s="671">
        <f t="shared" ca="1" si="39"/>
        <v>81094.928524113493</v>
      </c>
      <c r="L103" s="671">
        <f t="shared" ca="1" si="39"/>
        <v>81164.928524113493</v>
      </c>
      <c r="M103" s="671">
        <f t="shared" ca="1" si="39"/>
        <v>82744.928524113493</v>
      </c>
      <c r="N103" s="671">
        <f t="shared" ca="1" si="39"/>
        <v>82474.928524113493</v>
      </c>
      <c r="O103" s="671">
        <f t="shared" ca="1" si="39"/>
        <v>81564.928524113493</v>
      </c>
      <c r="P103" s="671">
        <f t="shared" ca="1" si="39"/>
        <v>83134.928524113493</v>
      </c>
      <c r="Q103" s="671">
        <f t="shared" ca="1" si="39"/>
        <v>81134.928524113493</v>
      </c>
      <c r="R103" s="671">
        <f t="shared" ca="1" si="39"/>
        <v>81134.928524113493</v>
      </c>
      <c r="S103" s="671">
        <f t="shared" ca="1" si="39"/>
        <v>83634.928524113493</v>
      </c>
    </row>
    <row r="104" spans="1:42" s="25" customFormat="1" ht="13.5" outlineLevel="1" thickTop="1">
      <c r="A104" s="331"/>
      <c r="B104" s="314"/>
      <c r="C104" s="314"/>
      <c r="D104" s="353"/>
      <c r="E104" s="670"/>
      <c r="F104" s="693"/>
      <c r="G104" s="670"/>
      <c r="H104" s="353"/>
      <c r="I104" s="353"/>
      <c r="J104" s="353"/>
      <c r="K104" s="353"/>
      <c r="L104" s="353"/>
      <c r="M104" s="353"/>
      <c r="N104" s="353"/>
      <c r="O104" s="353"/>
      <c r="P104" s="353"/>
      <c r="Q104" s="353"/>
      <c r="R104" s="353"/>
      <c r="S104" s="353"/>
    </row>
    <row r="105" spans="1:42" s="25" customFormat="1" ht="12.75" outlineLevel="1">
      <c r="A105" s="331"/>
      <c r="B105" s="38" t="s">
        <v>329</v>
      </c>
      <c r="C105" s="39"/>
      <c r="D105" s="157"/>
      <c r="E105" s="157"/>
      <c r="F105" s="651"/>
      <c r="G105" s="651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34"/>
    </row>
    <row r="106" spans="1:42" s="333" customFormat="1" ht="12.75" outlineLevel="1">
      <c r="A106" s="331"/>
      <c r="B106" s="25"/>
      <c r="C106" s="25"/>
      <c r="D106" s="25"/>
      <c r="E106" s="25"/>
      <c r="F106" s="469"/>
      <c r="G106" s="128"/>
      <c r="H106" s="332"/>
      <c r="I106" s="332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  <c r="AM106" s="25"/>
      <c r="AN106" s="25"/>
      <c r="AO106" s="25"/>
      <c r="AP106" s="25"/>
    </row>
    <row r="107" spans="1:42" s="333" customFormat="1" ht="12.75" outlineLevel="1">
      <c r="A107" s="331"/>
      <c r="B107" s="38" t="s">
        <v>293</v>
      </c>
      <c r="C107" s="39"/>
      <c r="D107" s="157"/>
      <c r="E107" s="157"/>
      <c r="F107" s="651"/>
      <c r="G107" s="651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34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25"/>
      <c r="AO107" s="25"/>
      <c r="AP107" s="25"/>
    </row>
    <row r="108" spans="1:42" s="333" customFormat="1" ht="12.75" outlineLevel="1">
      <c r="A108" s="331"/>
      <c r="B108" s="42" t="s">
        <v>294</v>
      </c>
      <c r="C108" s="43"/>
      <c r="D108" s="43" t="s">
        <v>1638</v>
      </c>
      <c r="E108" s="354" t="s">
        <v>163</v>
      </c>
      <c r="F108" s="685" t="s">
        <v>101</v>
      </c>
      <c r="G108" s="355" t="s">
        <v>248</v>
      </c>
      <c r="H108" s="67">
        <v>41456</v>
      </c>
      <c r="I108" s="67">
        <v>41487</v>
      </c>
      <c r="J108" s="67">
        <v>41518</v>
      </c>
      <c r="K108" s="67">
        <v>41548</v>
      </c>
      <c r="L108" s="67">
        <v>41579</v>
      </c>
      <c r="M108" s="67">
        <v>41609</v>
      </c>
      <c r="N108" s="67">
        <v>41640</v>
      </c>
      <c r="O108" s="67">
        <v>41671</v>
      </c>
      <c r="P108" s="67">
        <v>41699</v>
      </c>
      <c r="Q108" s="67">
        <v>41730</v>
      </c>
      <c r="R108" s="67">
        <v>41760</v>
      </c>
      <c r="S108" s="68">
        <v>41791</v>
      </c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</row>
    <row r="109" spans="1:42" s="25" customFormat="1" ht="12.75" outlineLevel="1">
      <c r="A109" s="652"/>
      <c r="B109" s="371" t="s">
        <v>275</v>
      </c>
      <c r="C109" s="47"/>
      <c r="D109" s="226"/>
      <c r="E109" s="227"/>
      <c r="F109" s="686"/>
      <c r="G109" s="672"/>
      <c r="H109" s="673"/>
      <c r="I109" s="674"/>
      <c r="J109" s="674"/>
      <c r="K109" s="674"/>
      <c r="L109" s="674"/>
      <c r="M109" s="674"/>
      <c r="N109" s="674"/>
      <c r="O109" s="674"/>
      <c r="P109" s="674"/>
      <c r="Q109" s="674"/>
      <c r="R109" s="674"/>
      <c r="S109" s="675"/>
    </row>
    <row r="110" spans="1:42" s="25" customFormat="1" ht="12.75" outlineLevel="1">
      <c r="A110" s="331"/>
      <c r="B110" s="339" t="s">
        <v>295</v>
      </c>
      <c r="C110" s="47" t="s">
        <v>275</v>
      </c>
      <c r="D110" s="357">
        <f>G110*E110</f>
        <v>12000</v>
      </c>
      <c r="E110" s="657">
        <f>SUM(H110:S110)</f>
        <v>12</v>
      </c>
      <c r="F110" s="687" t="s">
        <v>296</v>
      </c>
      <c r="G110" s="665">
        <f>'App 10_5Yr Op Exp'!E35</f>
        <v>1000</v>
      </c>
      <c r="H110" s="533">
        <v>1</v>
      </c>
      <c r="I110" s="359">
        <v>1</v>
      </c>
      <c r="J110" s="359">
        <v>1</v>
      </c>
      <c r="K110" s="359">
        <v>1</v>
      </c>
      <c r="L110" s="359">
        <v>1</v>
      </c>
      <c r="M110" s="359">
        <v>1</v>
      </c>
      <c r="N110" s="359">
        <f>M110</f>
        <v>1</v>
      </c>
      <c r="O110" s="359">
        <f t="shared" ref="O110:S110" si="40">N110</f>
        <v>1</v>
      </c>
      <c r="P110" s="359">
        <f t="shared" si="40"/>
        <v>1</v>
      </c>
      <c r="Q110" s="359">
        <f t="shared" si="40"/>
        <v>1</v>
      </c>
      <c r="R110" s="359">
        <f t="shared" si="40"/>
        <v>1</v>
      </c>
      <c r="S110" s="360">
        <f t="shared" si="40"/>
        <v>1</v>
      </c>
    </row>
    <row r="111" spans="1:42" s="25" customFormat="1" ht="12.75" outlineLevel="1">
      <c r="A111" s="331"/>
      <c r="B111" s="339" t="s">
        <v>297</v>
      </c>
      <c r="C111" s="47" t="s">
        <v>275</v>
      </c>
      <c r="D111" s="357">
        <f t="shared" ref="D111:D117" si="41">G111*E111</f>
        <v>1200</v>
      </c>
      <c r="E111" s="657">
        <f t="shared" ref="E111:E117" si="42">SUM(H111:S111)</f>
        <v>12</v>
      </c>
      <c r="F111" s="687" t="s">
        <v>296</v>
      </c>
      <c r="G111" s="665">
        <f>'App 10_5Yr Op Exp'!E36</f>
        <v>100</v>
      </c>
      <c r="H111" s="533">
        <v>1</v>
      </c>
      <c r="I111" s="359">
        <v>1</v>
      </c>
      <c r="J111" s="359">
        <v>1</v>
      </c>
      <c r="K111" s="359">
        <v>1</v>
      </c>
      <c r="L111" s="359">
        <v>1</v>
      </c>
      <c r="M111" s="359">
        <v>1</v>
      </c>
      <c r="N111" s="359">
        <v>1</v>
      </c>
      <c r="O111" s="359">
        <v>1</v>
      </c>
      <c r="P111" s="359">
        <v>1</v>
      </c>
      <c r="Q111" s="359">
        <v>1</v>
      </c>
      <c r="R111" s="359">
        <v>1</v>
      </c>
      <c r="S111" s="360">
        <v>1</v>
      </c>
    </row>
    <row r="112" spans="1:42" s="25" customFormat="1" ht="12.75" outlineLevel="1">
      <c r="A112" s="331"/>
      <c r="B112" s="339" t="s">
        <v>298</v>
      </c>
      <c r="C112" s="47" t="s">
        <v>275</v>
      </c>
      <c r="D112" s="357">
        <f t="shared" si="41"/>
        <v>3600</v>
      </c>
      <c r="E112" s="657">
        <f t="shared" si="42"/>
        <v>12</v>
      </c>
      <c r="F112" s="687" t="s">
        <v>296</v>
      </c>
      <c r="G112" s="665">
        <f>'App 10_5Yr Op Exp'!E37</f>
        <v>300</v>
      </c>
      <c r="H112" s="533">
        <v>1</v>
      </c>
      <c r="I112" s="359">
        <v>1</v>
      </c>
      <c r="J112" s="359">
        <v>1</v>
      </c>
      <c r="K112" s="359">
        <v>1</v>
      </c>
      <c r="L112" s="359">
        <v>1</v>
      </c>
      <c r="M112" s="359">
        <v>1</v>
      </c>
      <c r="N112" s="359">
        <v>1</v>
      </c>
      <c r="O112" s="359">
        <v>1</v>
      </c>
      <c r="P112" s="359">
        <v>1</v>
      </c>
      <c r="Q112" s="359">
        <v>1</v>
      </c>
      <c r="R112" s="359">
        <v>1</v>
      </c>
      <c r="S112" s="360">
        <v>1</v>
      </c>
    </row>
    <row r="113" spans="1:19" s="25" customFormat="1" ht="12.75" outlineLevel="1">
      <c r="A113" s="331"/>
      <c r="B113" s="339" t="s">
        <v>299</v>
      </c>
      <c r="C113" s="47"/>
      <c r="D113" s="357">
        <f t="shared" si="41"/>
        <v>7930</v>
      </c>
      <c r="E113" s="657">
        <f t="shared" si="42"/>
        <v>793</v>
      </c>
      <c r="F113" s="687" t="s">
        <v>300</v>
      </c>
      <c r="G113" s="665">
        <f>VLOOKUP(B113,$B$19:$D$31,3,FALSE)</f>
        <v>10</v>
      </c>
      <c r="H113" s="572">
        <f>'App 9_Yr1 Headcount'!K$264</f>
        <v>54</v>
      </c>
      <c r="I113" s="51">
        <f>'App 9_Yr1 Headcount'!L$264</f>
        <v>54</v>
      </c>
      <c r="J113" s="51">
        <f>'App 9_Yr1 Headcount'!M$264</f>
        <v>56</v>
      </c>
      <c r="K113" s="51">
        <f>'App 9_Yr1 Headcount'!N$264</f>
        <v>60</v>
      </c>
      <c r="L113" s="51">
        <f>'App 9_Yr1 Headcount'!O$264</f>
        <v>62</v>
      </c>
      <c r="M113" s="51">
        <f>'App 9_Yr1 Headcount'!P$264</f>
        <v>64</v>
      </c>
      <c r="N113" s="51">
        <f>'App 9_Yr1 Headcount'!Q$264</f>
        <v>70</v>
      </c>
      <c r="O113" s="51">
        <f>'App 9_Yr1 Headcount'!R$264</f>
        <v>73</v>
      </c>
      <c r="P113" s="51">
        <f>'App 9_Yr1 Headcount'!S$264</f>
        <v>75</v>
      </c>
      <c r="Q113" s="51">
        <f>'App 9_Yr1 Headcount'!T$264</f>
        <v>75</v>
      </c>
      <c r="R113" s="51">
        <f>'App 9_Yr1 Headcount'!U$264</f>
        <v>75</v>
      </c>
      <c r="S113" s="368">
        <f>'App 9_Yr1 Headcount'!V$264</f>
        <v>75</v>
      </c>
    </row>
    <row r="114" spans="1:19" s="25" customFormat="1" ht="12.75" outlineLevel="1">
      <c r="A114" s="331"/>
      <c r="B114" s="339" t="s">
        <v>301</v>
      </c>
      <c r="C114" s="47"/>
      <c r="D114" s="357">
        <f t="shared" si="41"/>
        <v>7930</v>
      </c>
      <c r="E114" s="657">
        <f t="shared" si="42"/>
        <v>793</v>
      </c>
      <c r="F114" s="687" t="s">
        <v>300</v>
      </c>
      <c r="G114" s="665">
        <f>VLOOKUP(B114,$B$19:$D$31,3,FALSE)</f>
        <v>10</v>
      </c>
      <c r="H114" s="572">
        <f>'App 9_Yr1 Headcount'!K$264</f>
        <v>54</v>
      </c>
      <c r="I114" s="51">
        <f>'App 9_Yr1 Headcount'!L$264</f>
        <v>54</v>
      </c>
      <c r="J114" s="51">
        <f>'App 9_Yr1 Headcount'!M$264</f>
        <v>56</v>
      </c>
      <c r="K114" s="51">
        <f>'App 9_Yr1 Headcount'!N$264</f>
        <v>60</v>
      </c>
      <c r="L114" s="51">
        <f>'App 9_Yr1 Headcount'!O$264</f>
        <v>62</v>
      </c>
      <c r="M114" s="51">
        <f>'App 9_Yr1 Headcount'!P$264</f>
        <v>64</v>
      </c>
      <c r="N114" s="51">
        <f>'App 9_Yr1 Headcount'!Q$264</f>
        <v>70</v>
      </c>
      <c r="O114" s="51">
        <f>'App 9_Yr1 Headcount'!R$264</f>
        <v>73</v>
      </c>
      <c r="P114" s="51">
        <f>'App 9_Yr1 Headcount'!S$264</f>
        <v>75</v>
      </c>
      <c r="Q114" s="51">
        <f>'App 9_Yr1 Headcount'!T$264</f>
        <v>75</v>
      </c>
      <c r="R114" s="51">
        <f>'App 9_Yr1 Headcount'!U$264</f>
        <v>75</v>
      </c>
      <c r="S114" s="368">
        <f>'App 9_Yr1 Headcount'!V$264</f>
        <v>75</v>
      </c>
    </row>
    <row r="115" spans="1:19" s="25" customFormat="1" ht="12.75" outlineLevel="1">
      <c r="A115" s="331"/>
      <c r="B115" s="339" t="s">
        <v>302</v>
      </c>
      <c r="C115" s="47" t="s">
        <v>275</v>
      </c>
      <c r="D115" s="357">
        <f t="shared" si="41"/>
        <v>10000</v>
      </c>
      <c r="E115" s="657">
        <f t="shared" si="42"/>
        <v>5</v>
      </c>
      <c r="F115" s="687" t="s">
        <v>303</v>
      </c>
      <c r="G115" s="665">
        <f>'App 10_5Yr Op Exp'!E38</f>
        <v>2000</v>
      </c>
      <c r="H115" s="533">
        <v>1</v>
      </c>
      <c r="I115" s="359">
        <v>0</v>
      </c>
      <c r="J115" s="359">
        <v>1</v>
      </c>
      <c r="K115" s="359">
        <v>0</v>
      </c>
      <c r="L115" s="359">
        <v>0</v>
      </c>
      <c r="M115" s="359">
        <v>1</v>
      </c>
      <c r="N115" s="359">
        <v>0</v>
      </c>
      <c r="O115" s="359">
        <v>0</v>
      </c>
      <c r="P115" s="359">
        <v>1</v>
      </c>
      <c r="Q115" s="359">
        <v>0</v>
      </c>
      <c r="R115" s="359">
        <v>0</v>
      </c>
      <c r="S115" s="360">
        <v>1</v>
      </c>
    </row>
    <row r="116" spans="1:19" s="25" customFormat="1" ht="12.75" outlineLevel="1">
      <c r="A116" s="331"/>
      <c r="B116" s="339" t="s">
        <v>304</v>
      </c>
      <c r="C116" s="47" t="s">
        <v>275</v>
      </c>
      <c r="D116" s="357">
        <f t="shared" si="41"/>
        <v>6000</v>
      </c>
      <c r="E116" s="657">
        <f t="shared" si="42"/>
        <v>12</v>
      </c>
      <c r="F116" s="687" t="s">
        <v>303</v>
      </c>
      <c r="G116" s="665">
        <f>'App 10_5Yr Op Exp'!E39</f>
        <v>500</v>
      </c>
      <c r="H116" s="533">
        <v>1</v>
      </c>
      <c r="I116" s="359">
        <v>1</v>
      </c>
      <c r="J116" s="359">
        <v>1</v>
      </c>
      <c r="K116" s="359">
        <v>1</v>
      </c>
      <c r="L116" s="359">
        <v>1</v>
      </c>
      <c r="M116" s="359">
        <v>1</v>
      </c>
      <c r="N116" s="359">
        <v>1</v>
      </c>
      <c r="O116" s="359">
        <v>1</v>
      </c>
      <c r="P116" s="359">
        <v>1</v>
      </c>
      <c r="Q116" s="359">
        <v>1</v>
      </c>
      <c r="R116" s="359">
        <v>1</v>
      </c>
      <c r="S116" s="360">
        <v>1</v>
      </c>
    </row>
    <row r="117" spans="1:19" s="25" customFormat="1" ht="12.75" outlineLevel="1">
      <c r="A117" s="331"/>
      <c r="B117" s="339" t="s">
        <v>305</v>
      </c>
      <c r="C117" s="47" t="s">
        <v>275</v>
      </c>
      <c r="D117" s="357">
        <f t="shared" si="41"/>
        <v>24742.006041337423</v>
      </c>
      <c r="E117" s="657">
        <f t="shared" si="42"/>
        <v>12</v>
      </c>
      <c r="F117" s="687" t="s">
        <v>296</v>
      </c>
      <c r="G117" s="665">
        <f>('App 1_5Yr Revenue'!E13*'App 11_Yr1 Op Exp'!D31)/E117</f>
        <v>2061.8338367781184</v>
      </c>
      <c r="H117" s="533">
        <v>1</v>
      </c>
      <c r="I117" s="359">
        <v>1</v>
      </c>
      <c r="J117" s="359">
        <v>1</v>
      </c>
      <c r="K117" s="359">
        <v>1</v>
      </c>
      <c r="L117" s="359">
        <v>1</v>
      </c>
      <c r="M117" s="359">
        <v>1</v>
      </c>
      <c r="N117" s="359">
        <v>1</v>
      </c>
      <c r="O117" s="359">
        <v>1</v>
      </c>
      <c r="P117" s="359">
        <v>1</v>
      </c>
      <c r="Q117" s="359">
        <v>1</v>
      </c>
      <c r="R117" s="359">
        <v>1</v>
      </c>
      <c r="S117" s="360">
        <v>1</v>
      </c>
    </row>
    <row r="118" spans="1:19" s="25" customFormat="1" ht="12.75" outlineLevel="1">
      <c r="A118" s="331"/>
      <c r="B118" s="342" t="s">
        <v>234</v>
      </c>
      <c r="C118" s="343"/>
      <c r="D118" s="370">
        <f>SUM(D110:D117)</f>
        <v>73402.006041337416</v>
      </c>
      <c r="E118" s="659"/>
      <c r="F118" s="688"/>
      <c r="G118" s="676"/>
      <c r="H118" s="677">
        <f>SUM(H110:H117)</f>
        <v>114</v>
      </c>
      <c r="I118" s="678">
        <f>SUM(I110:I117)</f>
        <v>113</v>
      </c>
      <c r="J118" s="678">
        <f t="shared" ref="J118:S118" si="43">SUM(J110:J117)</f>
        <v>118</v>
      </c>
      <c r="K118" s="678">
        <f t="shared" si="43"/>
        <v>125</v>
      </c>
      <c r="L118" s="678">
        <f t="shared" si="43"/>
        <v>129</v>
      </c>
      <c r="M118" s="678">
        <f t="shared" si="43"/>
        <v>134</v>
      </c>
      <c r="N118" s="678">
        <f t="shared" si="43"/>
        <v>145</v>
      </c>
      <c r="O118" s="678">
        <f t="shared" si="43"/>
        <v>151</v>
      </c>
      <c r="P118" s="678">
        <f t="shared" si="43"/>
        <v>156</v>
      </c>
      <c r="Q118" s="678">
        <f t="shared" si="43"/>
        <v>155</v>
      </c>
      <c r="R118" s="678">
        <f t="shared" si="43"/>
        <v>155</v>
      </c>
      <c r="S118" s="679">
        <f t="shared" si="43"/>
        <v>156</v>
      </c>
    </row>
    <row r="119" spans="1:19" s="25" customFormat="1" ht="12.75" outlineLevel="1">
      <c r="A119" s="331"/>
      <c r="B119" s="48"/>
      <c r="C119" s="48"/>
      <c r="D119" s="456"/>
      <c r="E119" s="456"/>
      <c r="F119" s="688"/>
      <c r="G119" s="661"/>
      <c r="H119" s="680"/>
      <c r="I119" s="680"/>
      <c r="J119" s="680"/>
      <c r="K119" s="680"/>
      <c r="L119" s="680"/>
      <c r="M119" s="680"/>
      <c r="N119" s="680"/>
      <c r="O119" s="680"/>
      <c r="P119" s="680"/>
      <c r="Q119" s="680"/>
      <c r="R119" s="680"/>
      <c r="S119" s="680"/>
    </row>
    <row r="120" spans="1:19" s="25" customFormat="1" ht="12.75" outlineLevel="1">
      <c r="A120" s="331"/>
      <c r="B120" s="371" t="s">
        <v>276</v>
      </c>
      <c r="C120" s="47"/>
      <c r="D120" s="226"/>
      <c r="E120" s="662"/>
      <c r="F120" s="689"/>
      <c r="G120" s="663"/>
      <c r="H120" s="673"/>
      <c r="I120" s="674"/>
      <c r="J120" s="674"/>
      <c r="K120" s="674"/>
      <c r="L120" s="674"/>
      <c r="M120" s="674"/>
      <c r="N120" s="674"/>
      <c r="O120" s="674"/>
      <c r="P120" s="674"/>
      <c r="Q120" s="674"/>
      <c r="R120" s="674"/>
      <c r="S120" s="675"/>
    </row>
    <row r="121" spans="1:19" s="25" customFormat="1" ht="12.75" outlineLevel="1">
      <c r="A121" s="331"/>
      <c r="B121" s="339" t="s">
        <v>306</v>
      </c>
      <c r="C121" s="47" t="s">
        <v>276</v>
      </c>
      <c r="D121" s="357">
        <f>G121*E121</f>
        <v>270000</v>
      </c>
      <c r="E121" s="657">
        <f>SUM(H121:S121)</f>
        <v>12</v>
      </c>
      <c r="F121" s="690" t="s">
        <v>1639</v>
      </c>
      <c r="G121" s="665">
        <f>D19*D20</f>
        <v>22500</v>
      </c>
      <c r="H121" s="657">
        <v>1</v>
      </c>
      <c r="I121" s="680">
        <v>1</v>
      </c>
      <c r="J121" s="680">
        <v>1</v>
      </c>
      <c r="K121" s="680">
        <v>1</v>
      </c>
      <c r="L121" s="680">
        <v>1</v>
      </c>
      <c r="M121" s="680">
        <v>1</v>
      </c>
      <c r="N121" s="680">
        <v>1</v>
      </c>
      <c r="O121" s="680">
        <v>1</v>
      </c>
      <c r="P121" s="680">
        <v>1</v>
      </c>
      <c r="Q121" s="680">
        <v>1</v>
      </c>
      <c r="R121" s="680">
        <v>1</v>
      </c>
      <c r="S121" s="681">
        <v>1</v>
      </c>
    </row>
    <row r="122" spans="1:19" s="25" customFormat="1" ht="12.75" outlineLevel="1">
      <c r="A122" s="331"/>
      <c r="B122" s="339" t="s">
        <v>286</v>
      </c>
      <c r="C122" s="47" t="s">
        <v>276</v>
      </c>
      <c r="D122" s="357">
        <f t="shared" ref="D122:D123" si="44">G122*E122</f>
        <v>7930</v>
      </c>
      <c r="E122" s="657">
        <f t="shared" ref="E122:E123" si="45">SUM(H122:S122)</f>
        <v>793</v>
      </c>
      <c r="F122" s="690" t="s">
        <v>300</v>
      </c>
      <c r="G122" s="665">
        <f>D21</f>
        <v>10</v>
      </c>
      <c r="H122" s="657">
        <f>'App 9_Yr1 Headcount'!K264</f>
        <v>54</v>
      </c>
      <c r="I122" s="680">
        <f>'App 9_Yr1 Headcount'!L264</f>
        <v>54</v>
      </c>
      <c r="J122" s="680">
        <f>'App 9_Yr1 Headcount'!M264</f>
        <v>56</v>
      </c>
      <c r="K122" s="680">
        <f>'App 9_Yr1 Headcount'!N264</f>
        <v>60</v>
      </c>
      <c r="L122" s="680">
        <f>'App 9_Yr1 Headcount'!O264</f>
        <v>62</v>
      </c>
      <c r="M122" s="680">
        <f>'App 9_Yr1 Headcount'!P264</f>
        <v>64</v>
      </c>
      <c r="N122" s="680">
        <f>'App 9_Yr1 Headcount'!Q264</f>
        <v>70</v>
      </c>
      <c r="O122" s="680">
        <f>'App 9_Yr1 Headcount'!R264</f>
        <v>73</v>
      </c>
      <c r="P122" s="680">
        <f>'App 9_Yr1 Headcount'!S264</f>
        <v>75</v>
      </c>
      <c r="Q122" s="680">
        <f>'App 9_Yr1 Headcount'!T264</f>
        <v>75</v>
      </c>
      <c r="R122" s="680">
        <f>'App 9_Yr1 Headcount'!U264</f>
        <v>75</v>
      </c>
      <c r="S122" s="681">
        <f>'App 9_Yr1 Headcount'!V264</f>
        <v>75</v>
      </c>
    </row>
    <row r="123" spans="1:19" s="25" customFormat="1" ht="12.75" outlineLevel="1">
      <c r="A123" s="331"/>
      <c r="B123" s="339" t="s">
        <v>1640</v>
      </c>
      <c r="C123" s="47" t="s">
        <v>276</v>
      </c>
      <c r="D123" s="357">
        <f t="shared" si="44"/>
        <v>49484.012082674846</v>
      </c>
      <c r="E123" s="657">
        <f t="shared" si="45"/>
        <v>12</v>
      </c>
      <c r="F123" s="690" t="s">
        <v>296</v>
      </c>
      <c r="G123" s="665">
        <f>'App 1_5Yr Revenue'!E13*'App 10_5Yr Op Exp'!E33/E123</f>
        <v>4123.6676735562369</v>
      </c>
      <c r="H123" s="657">
        <v>1</v>
      </c>
      <c r="I123" s="680">
        <v>1</v>
      </c>
      <c r="J123" s="680">
        <v>1</v>
      </c>
      <c r="K123" s="680">
        <v>1</v>
      </c>
      <c r="L123" s="680">
        <v>1</v>
      </c>
      <c r="M123" s="680">
        <v>1</v>
      </c>
      <c r="N123" s="680">
        <v>1</v>
      </c>
      <c r="O123" s="680">
        <v>1</v>
      </c>
      <c r="P123" s="680">
        <v>1</v>
      </c>
      <c r="Q123" s="680">
        <v>1</v>
      </c>
      <c r="R123" s="680">
        <v>1</v>
      </c>
      <c r="S123" s="681">
        <v>1</v>
      </c>
    </row>
    <row r="124" spans="1:19" s="25" customFormat="1" ht="12.75" outlineLevel="1">
      <c r="A124" s="331"/>
      <c r="B124" s="339"/>
      <c r="C124" s="47" t="s">
        <v>276</v>
      </c>
      <c r="D124" s="357"/>
      <c r="E124" s="664"/>
      <c r="F124" s="690"/>
      <c r="G124" s="665"/>
      <c r="H124" s="657"/>
      <c r="I124" s="680"/>
      <c r="J124" s="680"/>
      <c r="K124" s="680"/>
      <c r="L124" s="680"/>
      <c r="M124" s="680"/>
      <c r="N124" s="680"/>
      <c r="O124" s="680"/>
      <c r="P124" s="680"/>
      <c r="Q124" s="680"/>
      <c r="R124" s="680"/>
      <c r="S124" s="681"/>
    </row>
    <row r="125" spans="1:19" s="25" customFormat="1" ht="12.75" outlineLevel="1">
      <c r="A125" s="331"/>
      <c r="B125" s="342" t="s">
        <v>234</v>
      </c>
      <c r="C125" s="343"/>
      <c r="D125" s="370">
        <f>SUM(D121:D124)</f>
        <v>327414.01208267483</v>
      </c>
      <c r="E125" s="666"/>
      <c r="F125" s="691"/>
      <c r="G125" s="667"/>
      <c r="H125" s="677">
        <f t="shared" ref="H125:S125" si="46">SUM(H121:H124)</f>
        <v>56</v>
      </c>
      <c r="I125" s="678">
        <f t="shared" si="46"/>
        <v>56</v>
      </c>
      <c r="J125" s="678">
        <f t="shared" si="46"/>
        <v>58</v>
      </c>
      <c r="K125" s="678">
        <f t="shared" si="46"/>
        <v>62</v>
      </c>
      <c r="L125" s="678">
        <f t="shared" si="46"/>
        <v>64</v>
      </c>
      <c r="M125" s="678">
        <f t="shared" si="46"/>
        <v>66</v>
      </c>
      <c r="N125" s="678">
        <f t="shared" si="46"/>
        <v>72</v>
      </c>
      <c r="O125" s="678">
        <f t="shared" si="46"/>
        <v>75</v>
      </c>
      <c r="P125" s="678">
        <f t="shared" si="46"/>
        <v>77</v>
      </c>
      <c r="Q125" s="678">
        <f t="shared" si="46"/>
        <v>77</v>
      </c>
      <c r="R125" s="678">
        <f t="shared" si="46"/>
        <v>77</v>
      </c>
      <c r="S125" s="679">
        <f t="shared" si="46"/>
        <v>77</v>
      </c>
    </row>
    <row r="126" spans="1:19" s="25" customFormat="1" ht="12.75" outlineLevel="1">
      <c r="A126" s="331"/>
      <c r="B126" s="48"/>
      <c r="C126" s="48"/>
      <c r="D126" s="456"/>
      <c r="E126" s="456"/>
      <c r="F126" s="690"/>
      <c r="G126" s="661"/>
      <c r="H126" s="680"/>
      <c r="I126" s="680"/>
      <c r="J126" s="680"/>
      <c r="K126" s="680"/>
      <c r="L126" s="680"/>
      <c r="M126" s="680"/>
      <c r="N126" s="680"/>
      <c r="O126" s="680"/>
      <c r="P126" s="680"/>
      <c r="Q126" s="680"/>
      <c r="R126" s="680"/>
      <c r="S126" s="680"/>
    </row>
    <row r="127" spans="1:19" s="25" customFormat="1" ht="12.75" outlineLevel="1">
      <c r="A127" s="331"/>
      <c r="B127" s="371" t="s">
        <v>277</v>
      </c>
      <c r="C127" s="47"/>
      <c r="D127" s="226"/>
      <c r="E127" s="662"/>
      <c r="F127" s="689"/>
      <c r="G127" s="663"/>
      <c r="H127" s="673"/>
      <c r="I127" s="674"/>
      <c r="J127" s="674"/>
      <c r="K127" s="674"/>
      <c r="L127" s="674"/>
      <c r="M127" s="674"/>
      <c r="N127" s="674"/>
      <c r="O127" s="674"/>
      <c r="P127" s="674"/>
      <c r="Q127" s="674"/>
      <c r="R127" s="674"/>
      <c r="S127" s="675"/>
    </row>
    <row r="128" spans="1:19" s="25" customFormat="1" ht="12.75" outlineLevel="1">
      <c r="A128" s="331"/>
      <c r="B128" s="339" t="s">
        <v>308</v>
      </c>
      <c r="C128" s="47" t="s">
        <v>277</v>
      </c>
      <c r="D128" s="357">
        <f>G128*E128</f>
        <v>48000</v>
      </c>
      <c r="E128" s="657">
        <f>SUM(H128:S128)</f>
        <v>24000</v>
      </c>
      <c r="F128" s="690" t="s">
        <v>308</v>
      </c>
      <c r="G128" s="665">
        <f>D37</f>
        <v>2</v>
      </c>
      <c r="H128" s="533">
        <v>2000</v>
      </c>
      <c r="I128" s="359">
        <f>H128</f>
        <v>2000</v>
      </c>
      <c r="J128" s="359">
        <f t="shared" ref="J128:R128" si="47">I128</f>
        <v>2000</v>
      </c>
      <c r="K128" s="359">
        <f t="shared" si="47"/>
        <v>2000</v>
      </c>
      <c r="L128" s="359">
        <f t="shared" si="47"/>
        <v>2000</v>
      </c>
      <c r="M128" s="359">
        <f t="shared" si="47"/>
        <v>2000</v>
      </c>
      <c r="N128" s="359">
        <f t="shared" si="47"/>
        <v>2000</v>
      </c>
      <c r="O128" s="359">
        <f t="shared" si="47"/>
        <v>2000</v>
      </c>
      <c r="P128" s="359">
        <f t="shared" si="47"/>
        <v>2000</v>
      </c>
      <c r="Q128" s="359">
        <f t="shared" si="47"/>
        <v>2000</v>
      </c>
      <c r="R128" s="359">
        <f t="shared" si="47"/>
        <v>2000</v>
      </c>
      <c r="S128" s="360">
        <f>R128</f>
        <v>2000</v>
      </c>
    </row>
    <row r="129" spans="1:19" s="25" customFormat="1" ht="12.75" outlineLevel="1">
      <c r="A129" s="331"/>
      <c r="B129" s="339" t="s">
        <v>309</v>
      </c>
      <c r="C129" s="47" t="s">
        <v>277</v>
      </c>
      <c r="D129" s="357">
        <f t="shared" ref="D129:D132" si="48">G129*E129</f>
        <v>12000</v>
      </c>
      <c r="E129" s="657">
        <f t="shared" ref="E129:E132" si="49">SUM(H129:S129)</f>
        <v>24000</v>
      </c>
      <c r="F129" s="690" t="s">
        <v>310</v>
      </c>
      <c r="G129" s="665">
        <f>D38</f>
        <v>0.5</v>
      </c>
      <c r="H129" s="533">
        <v>2000</v>
      </c>
      <c r="I129" s="359">
        <v>2000</v>
      </c>
      <c r="J129" s="359">
        <f>I129</f>
        <v>2000</v>
      </c>
      <c r="K129" s="359">
        <f t="shared" ref="K129:R129" si="50">J129</f>
        <v>2000</v>
      </c>
      <c r="L129" s="359">
        <f t="shared" si="50"/>
        <v>2000</v>
      </c>
      <c r="M129" s="359">
        <f t="shared" si="50"/>
        <v>2000</v>
      </c>
      <c r="N129" s="359">
        <f t="shared" si="50"/>
        <v>2000</v>
      </c>
      <c r="O129" s="359">
        <f t="shared" si="50"/>
        <v>2000</v>
      </c>
      <c r="P129" s="359">
        <f t="shared" si="50"/>
        <v>2000</v>
      </c>
      <c r="Q129" s="359">
        <f t="shared" si="50"/>
        <v>2000</v>
      </c>
      <c r="R129" s="359">
        <f t="shared" si="50"/>
        <v>2000</v>
      </c>
      <c r="S129" s="360">
        <f>R129</f>
        <v>2000</v>
      </c>
    </row>
    <row r="130" spans="1:19" s="25" customFormat="1" ht="12.75" outlineLevel="1">
      <c r="A130" s="331"/>
      <c r="B130" s="339" t="s">
        <v>311</v>
      </c>
      <c r="C130" s="47" t="s">
        <v>277</v>
      </c>
      <c r="D130" s="357">
        <f t="shared" si="48"/>
        <v>12000</v>
      </c>
      <c r="E130" s="657">
        <f t="shared" si="49"/>
        <v>16</v>
      </c>
      <c r="F130" s="690" t="s">
        <v>296</v>
      </c>
      <c r="G130" s="665">
        <v>750</v>
      </c>
      <c r="H130" s="533">
        <v>3</v>
      </c>
      <c r="I130" s="359">
        <v>1</v>
      </c>
      <c r="J130" s="359">
        <v>1</v>
      </c>
      <c r="K130" s="359">
        <v>1</v>
      </c>
      <c r="L130" s="359">
        <v>1</v>
      </c>
      <c r="M130" s="359">
        <v>1</v>
      </c>
      <c r="N130" s="359">
        <v>3</v>
      </c>
      <c r="O130" s="359">
        <v>1</v>
      </c>
      <c r="P130" s="359">
        <v>1</v>
      </c>
      <c r="Q130" s="359">
        <v>1</v>
      </c>
      <c r="R130" s="359">
        <v>1</v>
      </c>
      <c r="S130" s="360">
        <v>1</v>
      </c>
    </row>
    <row r="131" spans="1:19" s="25" customFormat="1" ht="12.75" outlineLevel="1">
      <c r="A131" s="331"/>
      <c r="B131" s="339" t="s">
        <v>312</v>
      </c>
      <c r="C131" s="47" t="s">
        <v>277</v>
      </c>
      <c r="D131" s="357">
        <f t="shared" si="48"/>
        <v>24000</v>
      </c>
      <c r="E131" s="657">
        <f t="shared" si="49"/>
        <v>12</v>
      </c>
      <c r="F131" s="690" t="s">
        <v>296</v>
      </c>
      <c r="G131" s="665">
        <f>D40</f>
        <v>2000</v>
      </c>
      <c r="H131" s="533">
        <v>1</v>
      </c>
      <c r="I131" s="359">
        <v>1</v>
      </c>
      <c r="J131" s="359">
        <v>1</v>
      </c>
      <c r="K131" s="359">
        <v>1</v>
      </c>
      <c r="L131" s="359">
        <v>1</v>
      </c>
      <c r="M131" s="359">
        <v>1</v>
      </c>
      <c r="N131" s="359">
        <v>1</v>
      </c>
      <c r="O131" s="359">
        <v>1</v>
      </c>
      <c r="P131" s="359">
        <v>1</v>
      </c>
      <c r="Q131" s="359">
        <v>1</v>
      </c>
      <c r="R131" s="359">
        <v>1</v>
      </c>
      <c r="S131" s="360">
        <v>1</v>
      </c>
    </row>
    <row r="132" spans="1:19" s="25" customFormat="1" ht="12.75" outlineLevel="1">
      <c r="A132" s="331"/>
      <c r="B132" s="339" t="s">
        <v>313</v>
      </c>
      <c r="C132" s="47" t="s">
        <v>277</v>
      </c>
      <c r="D132" s="357">
        <f t="shared" si="48"/>
        <v>1500</v>
      </c>
      <c r="E132" s="657">
        <f t="shared" si="49"/>
        <v>3</v>
      </c>
      <c r="F132" s="690" t="s">
        <v>314</v>
      </c>
      <c r="G132" s="665">
        <f>D41</f>
        <v>500</v>
      </c>
      <c r="H132" s="533">
        <v>0</v>
      </c>
      <c r="I132" s="359">
        <v>0</v>
      </c>
      <c r="J132" s="359">
        <v>0</v>
      </c>
      <c r="K132" s="359">
        <v>1</v>
      </c>
      <c r="L132" s="359">
        <v>0</v>
      </c>
      <c r="M132" s="359">
        <v>0</v>
      </c>
      <c r="N132" s="359">
        <v>0</v>
      </c>
      <c r="O132" s="359">
        <v>1</v>
      </c>
      <c r="P132" s="359">
        <v>0</v>
      </c>
      <c r="Q132" s="359">
        <v>0</v>
      </c>
      <c r="R132" s="359">
        <v>0</v>
      </c>
      <c r="S132" s="360">
        <v>1</v>
      </c>
    </row>
    <row r="133" spans="1:19" s="25" customFormat="1" ht="12.75" outlineLevel="1">
      <c r="A133" s="331"/>
      <c r="B133" s="339"/>
      <c r="C133" s="47" t="s">
        <v>277</v>
      </c>
      <c r="D133" s="357"/>
      <c r="E133" s="664"/>
      <c r="F133" s="690"/>
      <c r="G133" s="665"/>
      <c r="H133" s="657"/>
      <c r="I133" s="680"/>
      <c r="J133" s="680"/>
      <c r="K133" s="680"/>
      <c r="L133" s="680"/>
      <c r="M133" s="680"/>
      <c r="N133" s="680"/>
      <c r="O133" s="680"/>
      <c r="P133" s="680"/>
      <c r="Q133" s="680"/>
      <c r="R133" s="680"/>
      <c r="S133" s="681"/>
    </row>
    <row r="134" spans="1:19" s="25" customFormat="1" ht="12.75" outlineLevel="1">
      <c r="A134" s="331"/>
      <c r="B134" s="342" t="s">
        <v>234</v>
      </c>
      <c r="C134" s="343"/>
      <c r="D134" s="370">
        <f>SUM(D128:D133)</f>
        <v>97500</v>
      </c>
      <c r="E134" s="666"/>
      <c r="F134" s="691"/>
      <c r="G134" s="667"/>
      <c r="H134" s="677">
        <f>SUM(H128:H133)</f>
        <v>4004</v>
      </c>
      <c r="I134" s="678">
        <f>SUM(I128:I133)</f>
        <v>4002</v>
      </c>
      <c r="J134" s="678">
        <f t="shared" ref="J134:S134" si="51">SUM(J128:J133)</f>
        <v>4002</v>
      </c>
      <c r="K134" s="678">
        <f t="shared" si="51"/>
        <v>4003</v>
      </c>
      <c r="L134" s="678">
        <f t="shared" si="51"/>
        <v>4002</v>
      </c>
      <c r="M134" s="678">
        <f t="shared" si="51"/>
        <v>4002</v>
      </c>
      <c r="N134" s="678">
        <f t="shared" si="51"/>
        <v>4004</v>
      </c>
      <c r="O134" s="678">
        <f t="shared" si="51"/>
        <v>4003</v>
      </c>
      <c r="P134" s="678">
        <f t="shared" si="51"/>
        <v>4002</v>
      </c>
      <c r="Q134" s="678">
        <f t="shared" si="51"/>
        <v>4002</v>
      </c>
      <c r="R134" s="678">
        <f t="shared" si="51"/>
        <v>4002</v>
      </c>
      <c r="S134" s="679">
        <f t="shared" si="51"/>
        <v>4003</v>
      </c>
    </row>
    <row r="135" spans="1:19" s="25" customFormat="1" ht="12.75" outlineLevel="1">
      <c r="A135" s="331"/>
      <c r="D135" s="49"/>
      <c r="E135" s="49"/>
      <c r="F135" s="692"/>
      <c r="G135" s="332"/>
      <c r="H135" s="669"/>
      <c r="I135" s="669"/>
      <c r="J135" s="669"/>
      <c r="K135" s="669"/>
      <c r="L135" s="669"/>
      <c r="M135" s="669"/>
      <c r="N135" s="669"/>
      <c r="O135" s="669"/>
      <c r="P135" s="669"/>
      <c r="Q135" s="669"/>
      <c r="R135" s="669"/>
      <c r="S135" s="669"/>
    </row>
    <row r="136" spans="1:19" s="25" customFormat="1" ht="12.75" outlineLevel="1">
      <c r="A136" s="331"/>
      <c r="B136" s="371" t="s">
        <v>278</v>
      </c>
      <c r="C136" s="47"/>
      <c r="D136" s="226"/>
      <c r="E136" s="662"/>
      <c r="F136" s="689"/>
      <c r="G136" s="663"/>
      <c r="H136" s="673"/>
      <c r="I136" s="674"/>
      <c r="J136" s="674"/>
      <c r="K136" s="674"/>
      <c r="L136" s="674"/>
      <c r="M136" s="674"/>
      <c r="N136" s="674"/>
      <c r="O136" s="674"/>
      <c r="P136" s="674"/>
      <c r="Q136" s="674"/>
      <c r="R136" s="674"/>
      <c r="S136" s="675"/>
    </row>
    <row r="137" spans="1:19" s="25" customFormat="1" ht="12.75" outlineLevel="1">
      <c r="A137" s="331"/>
      <c r="B137" s="47" t="s">
        <v>333</v>
      </c>
      <c r="C137" s="47" t="s">
        <v>278</v>
      </c>
      <c r="D137" s="357">
        <f>G137*E137</f>
        <v>1420</v>
      </c>
      <c r="E137" s="657">
        <f>SUM(H137:S137)</f>
        <v>142</v>
      </c>
      <c r="F137" s="690" t="s">
        <v>181</v>
      </c>
      <c r="G137" s="658">
        <f>VLOOKUP(B137,$B$19:$D$31,3,FALSE)</f>
        <v>10</v>
      </c>
      <c r="H137" s="657">
        <f>'App 9_Yr1 Headcount'!K265</f>
        <v>11</v>
      </c>
      <c r="I137" s="680">
        <f>'App 9_Yr1 Headcount'!L265</f>
        <v>11</v>
      </c>
      <c r="J137" s="680">
        <f>'App 9_Yr1 Headcount'!M265</f>
        <v>12</v>
      </c>
      <c r="K137" s="680">
        <f>'App 9_Yr1 Headcount'!N265</f>
        <v>12</v>
      </c>
      <c r="L137" s="680">
        <f>'App 9_Yr1 Headcount'!O265</f>
        <v>12</v>
      </c>
      <c r="M137" s="680">
        <f>'App 9_Yr1 Headcount'!P265</f>
        <v>12</v>
      </c>
      <c r="N137" s="680">
        <f>'App 9_Yr1 Headcount'!Q265</f>
        <v>12</v>
      </c>
      <c r="O137" s="680">
        <f>'App 9_Yr1 Headcount'!R265</f>
        <v>12</v>
      </c>
      <c r="P137" s="680">
        <f>'App 9_Yr1 Headcount'!S265</f>
        <v>12</v>
      </c>
      <c r="Q137" s="680">
        <f>'App 9_Yr1 Headcount'!T265</f>
        <v>12</v>
      </c>
      <c r="R137" s="680">
        <f>'App 9_Yr1 Headcount'!U265</f>
        <v>12</v>
      </c>
      <c r="S137" s="681">
        <f>'App 9_Yr1 Headcount'!V265</f>
        <v>12</v>
      </c>
    </row>
    <row r="138" spans="1:19" s="25" customFormat="1" ht="12.75" outlineLevel="1">
      <c r="A138" s="331"/>
      <c r="B138" s="47" t="s">
        <v>334</v>
      </c>
      <c r="C138" s="47" t="s">
        <v>278</v>
      </c>
      <c r="D138" s="357">
        <f t="shared" ref="D138:D139" si="52">G138*E138</f>
        <v>2710</v>
      </c>
      <c r="E138" s="657">
        <f t="shared" ref="E138:E139" si="53">SUM(H138:S138)</f>
        <v>271</v>
      </c>
      <c r="F138" s="690" t="s">
        <v>335</v>
      </c>
      <c r="G138" s="658">
        <f t="shared" ref="G138:G139" si="54">VLOOKUP(B138,$B$19:$D$31,3,FALSE)</f>
        <v>10</v>
      </c>
      <c r="H138" s="657">
        <f>SUM('App 9_Yr1 Headcount'!K266:K267)</f>
        <v>21</v>
      </c>
      <c r="I138" s="680">
        <f>SUM('App 9_Yr1 Headcount'!L266:L267)</f>
        <v>21</v>
      </c>
      <c r="J138" s="680">
        <f>SUM('App 9_Yr1 Headcount'!M266:M267)</f>
        <v>21</v>
      </c>
      <c r="K138" s="680">
        <f>SUM('App 9_Yr1 Headcount'!N266:N267)</f>
        <v>21</v>
      </c>
      <c r="L138" s="680">
        <f>SUM('App 9_Yr1 Headcount'!O266:O267)</f>
        <v>21</v>
      </c>
      <c r="M138" s="680">
        <f>SUM('App 9_Yr1 Headcount'!P266:P267)</f>
        <v>22</v>
      </c>
      <c r="N138" s="680">
        <f>SUM('App 9_Yr1 Headcount'!Q266:Q267)</f>
        <v>24</v>
      </c>
      <c r="O138" s="680">
        <f>SUM('App 9_Yr1 Headcount'!R266:R267)</f>
        <v>24</v>
      </c>
      <c r="P138" s="680">
        <f>SUM('App 9_Yr1 Headcount'!S266:S267)</f>
        <v>24</v>
      </c>
      <c r="Q138" s="680">
        <f>SUM('App 9_Yr1 Headcount'!T266:T267)</f>
        <v>24</v>
      </c>
      <c r="R138" s="680">
        <f>SUM('App 9_Yr1 Headcount'!U266:U267)</f>
        <v>24</v>
      </c>
      <c r="S138" s="681">
        <f>SUM('App 9_Yr1 Headcount'!V266:V267)</f>
        <v>24</v>
      </c>
    </row>
    <row r="139" spans="1:19" s="25" customFormat="1" ht="12.75" outlineLevel="1">
      <c r="A139" s="331"/>
      <c r="B139" s="47" t="s">
        <v>347</v>
      </c>
      <c r="C139" s="47" t="s">
        <v>278</v>
      </c>
      <c r="D139" s="357">
        <f t="shared" si="52"/>
        <v>2720</v>
      </c>
      <c r="E139" s="657">
        <f t="shared" si="53"/>
        <v>272</v>
      </c>
      <c r="F139" s="690" t="s">
        <v>237</v>
      </c>
      <c r="G139" s="658">
        <f t="shared" si="54"/>
        <v>10</v>
      </c>
      <c r="H139" s="657">
        <f>'App 9_Yr1 Headcount'!K268</f>
        <v>18</v>
      </c>
      <c r="I139" s="680">
        <f>'App 9_Yr1 Headcount'!L268</f>
        <v>18</v>
      </c>
      <c r="J139" s="680">
        <f>'App 9_Yr1 Headcount'!M268</f>
        <v>19</v>
      </c>
      <c r="K139" s="680">
        <f>'App 9_Yr1 Headcount'!N268</f>
        <v>20</v>
      </c>
      <c r="L139" s="680">
        <f>'App 9_Yr1 Headcount'!O268</f>
        <v>21</v>
      </c>
      <c r="M139" s="680">
        <f>'App 9_Yr1 Headcount'!P268</f>
        <v>22</v>
      </c>
      <c r="N139" s="680">
        <f>'App 9_Yr1 Headcount'!Q268</f>
        <v>25</v>
      </c>
      <c r="O139" s="680">
        <f>'App 9_Yr1 Headcount'!R268</f>
        <v>25</v>
      </c>
      <c r="P139" s="680">
        <f>'App 9_Yr1 Headcount'!S268</f>
        <v>26</v>
      </c>
      <c r="Q139" s="680">
        <f>'App 9_Yr1 Headcount'!T268</f>
        <v>26</v>
      </c>
      <c r="R139" s="680">
        <f>'App 9_Yr1 Headcount'!U268</f>
        <v>26</v>
      </c>
      <c r="S139" s="681">
        <f>'App 9_Yr1 Headcount'!V268</f>
        <v>26</v>
      </c>
    </row>
    <row r="140" spans="1:19" s="25" customFormat="1" ht="12.75" outlineLevel="1">
      <c r="A140" s="331"/>
      <c r="B140" s="339"/>
      <c r="C140" s="47" t="s">
        <v>278</v>
      </c>
      <c r="D140" s="357"/>
      <c r="E140" s="664"/>
      <c r="F140" s="690"/>
      <c r="G140" s="665"/>
      <c r="H140" s="657"/>
      <c r="I140" s="680"/>
      <c r="J140" s="680"/>
      <c r="K140" s="680"/>
      <c r="L140" s="680"/>
      <c r="M140" s="680"/>
      <c r="N140" s="680"/>
      <c r="O140" s="680"/>
      <c r="P140" s="680"/>
      <c r="Q140" s="680"/>
      <c r="R140" s="680"/>
      <c r="S140" s="681"/>
    </row>
    <row r="141" spans="1:19" s="25" customFormat="1" ht="12.75" outlineLevel="1">
      <c r="A141" s="331"/>
      <c r="B141" s="342" t="s">
        <v>234</v>
      </c>
      <c r="C141" s="343"/>
      <c r="D141" s="370">
        <f>SUM(D137:D140)</f>
        <v>6850</v>
      </c>
      <c r="E141" s="666"/>
      <c r="F141" s="691"/>
      <c r="G141" s="667"/>
      <c r="H141" s="677">
        <f t="shared" ref="H141:S141" si="55">SUM(H137:H140)</f>
        <v>50</v>
      </c>
      <c r="I141" s="678">
        <f t="shared" si="55"/>
        <v>50</v>
      </c>
      <c r="J141" s="678">
        <f t="shared" si="55"/>
        <v>52</v>
      </c>
      <c r="K141" s="678">
        <f t="shared" si="55"/>
        <v>53</v>
      </c>
      <c r="L141" s="678">
        <f t="shared" si="55"/>
        <v>54</v>
      </c>
      <c r="M141" s="678">
        <f t="shared" si="55"/>
        <v>56</v>
      </c>
      <c r="N141" s="678">
        <f t="shared" si="55"/>
        <v>61</v>
      </c>
      <c r="O141" s="678">
        <f t="shared" si="55"/>
        <v>61</v>
      </c>
      <c r="P141" s="678">
        <f t="shared" si="55"/>
        <v>62</v>
      </c>
      <c r="Q141" s="678">
        <f t="shared" si="55"/>
        <v>62</v>
      </c>
      <c r="R141" s="678">
        <f t="shared" si="55"/>
        <v>62</v>
      </c>
      <c r="S141" s="679">
        <f t="shared" si="55"/>
        <v>62</v>
      </c>
    </row>
    <row r="142" spans="1:19" s="25" customFormat="1" ht="12.75" outlineLevel="1">
      <c r="A142" s="331"/>
      <c r="D142" s="49"/>
      <c r="E142" s="49"/>
      <c r="F142" s="692"/>
      <c r="G142" s="332"/>
      <c r="H142" s="669"/>
      <c r="I142" s="669"/>
      <c r="J142" s="669"/>
      <c r="K142" s="669"/>
      <c r="L142" s="669"/>
      <c r="M142" s="669"/>
      <c r="N142" s="669"/>
      <c r="O142" s="669"/>
      <c r="P142" s="669"/>
      <c r="Q142" s="669"/>
      <c r="R142" s="669"/>
      <c r="S142" s="669"/>
    </row>
    <row r="143" spans="1:19" s="25" customFormat="1" ht="12.75" outlineLevel="1">
      <c r="A143" s="331"/>
      <c r="B143" s="371" t="s">
        <v>279</v>
      </c>
      <c r="C143" s="47"/>
      <c r="D143" s="226"/>
      <c r="E143" s="662"/>
      <c r="F143" s="689"/>
      <c r="G143" s="663"/>
      <c r="H143" s="673"/>
      <c r="I143" s="674"/>
      <c r="J143" s="674"/>
      <c r="K143" s="674"/>
      <c r="L143" s="674"/>
      <c r="M143" s="674"/>
      <c r="N143" s="674"/>
      <c r="O143" s="674"/>
      <c r="P143" s="674"/>
      <c r="Q143" s="674"/>
      <c r="R143" s="674"/>
      <c r="S143" s="675"/>
    </row>
    <row r="144" spans="1:19" s="25" customFormat="1" ht="12.75" outlineLevel="1">
      <c r="A144" s="331"/>
      <c r="B144" s="339" t="s">
        <v>316</v>
      </c>
      <c r="C144" s="47" t="s">
        <v>279</v>
      </c>
      <c r="D144" s="357">
        <f ca="1">G144*E144</f>
        <v>200668.15000000002</v>
      </c>
      <c r="E144" s="804">
        <v>0.05</v>
      </c>
      <c r="F144" s="690" t="s">
        <v>317</v>
      </c>
      <c r="G144" s="658">
        <f ca="1">'App 6_Yr 1 Capex'!E15</f>
        <v>4013363</v>
      </c>
      <c r="H144" s="800">
        <f>E144/12</f>
        <v>4.1666666666666666E-3</v>
      </c>
      <c r="I144" s="801">
        <f>H144</f>
        <v>4.1666666666666666E-3</v>
      </c>
      <c r="J144" s="801">
        <f t="shared" ref="J144:S144" si="56">I144</f>
        <v>4.1666666666666666E-3</v>
      </c>
      <c r="K144" s="801">
        <f t="shared" si="56"/>
        <v>4.1666666666666666E-3</v>
      </c>
      <c r="L144" s="801">
        <f t="shared" si="56"/>
        <v>4.1666666666666666E-3</v>
      </c>
      <c r="M144" s="801">
        <f t="shared" si="56"/>
        <v>4.1666666666666666E-3</v>
      </c>
      <c r="N144" s="801">
        <f t="shared" si="56"/>
        <v>4.1666666666666666E-3</v>
      </c>
      <c r="O144" s="801">
        <f t="shared" si="56"/>
        <v>4.1666666666666666E-3</v>
      </c>
      <c r="P144" s="801">
        <f t="shared" si="56"/>
        <v>4.1666666666666666E-3</v>
      </c>
      <c r="Q144" s="801">
        <f t="shared" si="56"/>
        <v>4.1666666666666666E-3</v>
      </c>
      <c r="R144" s="801">
        <f t="shared" si="56"/>
        <v>4.1666666666666666E-3</v>
      </c>
      <c r="S144" s="802">
        <f t="shared" si="56"/>
        <v>4.1666666666666666E-3</v>
      </c>
    </row>
    <row r="145" spans="1:19" s="25" customFormat="1" ht="12.75" outlineLevel="1">
      <c r="A145" s="331"/>
      <c r="B145" s="339" t="s">
        <v>318</v>
      </c>
      <c r="C145" s="47" t="s">
        <v>279</v>
      </c>
      <c r="D145" s="357">
        <f t="shared" ref="D145:D148" si="57">G145*E145</f>
        <v>135680.1</v>
      </c>
      <c r="E145" s="804">
        <v>0.05</v>
      </c>
      <c r="F145" s="690" t="s">
        <v>317</v>
      </c>
      <c r="G145" s="658">
        <f>'App 6_Yr 1 Capex'!E16</f>
        <v>2713602</v>
      </c>
      <c r="H145" s="800">
        <f t="shared" ref="H145:H148" si="58">E145/12</f>
        <v>4.1666666666666666E-3</v>
      </c>
      <c r="I145" s="801">
        <f t="shared" ref="I145:S145" si="59">H145</f>
        <v>4.1666666666666666E-3</v>
      </c>
      <c r="J145" s="801">
        <f t="shared" si="59"/>
        <v>4.1666666666666666E-3</v>
      </c>
      <c r="K145" s="801">
        <f t="shared" si="59"/>
        <v>4.1666666666666666E-3</v>
      </c>
      <c r="L145" s="801">
        <f t="shared" si="59"/>
        <v>4.1666666666666666E-3</v>
      </c>
      <c r="M145" s="801">
        <f t="shared" si="59"/>
        <v>4.1666666666666666E-3</v>
      </c>
      <c r="N145" s="801">
        <f t="shared" si="59"/>
        <v>4.1666666666666666E-3</v>
      </c>
      <c r="O145" s="801">
        <f t="shared" si="59"/>
        <v>4.1666666666666666E-3</v>
      </c>
      <c r="P145" s="801">
        <f t="shared" si="59"/>
        <v>4.1666666666666666E-3</v>
      </c>
      <c r="Q145" s="801">
        <f t="shared" si="59"/>
        <v>4.1666666666666666E-3</v>
      </c>
      <c r="R145" s="801">
        <f t="shared" si="59"/>
        <v>4.1666666666666666E-3</v>
      </c>
      <c r="S145" s="802">
        <f t="shared" si="59"/>
        <v>4.1666666666666666E-3</v>
      </c>
    </row>
    <row r="146" spans="1:19" s="25" customFormat="1" ht="12.75" outlineLevel="1">
      <c r="A146" s="331"/>
      <c r="B146" s="339" t="s">
        <v>319</v>
      </c>
      <c r="C146" s="47" t="s">
        <v>279</v>
      </c>
      <c r="D146" s="357">
        <f t="shared" ca="1" si="57"/>
        <v>8200</v>
      </c>
      <c r="E146" s="804">
        <v>0.05</v>
      </c>
      <c r="F146" s="690" t="s">
        <v>320</v>
      </c>
      <c r="G146" s="658">
        <f ca="1">'App 6_Yr 1 Capex'!E19</f>
        <v>164000</v>
      </c>
      <c r="H146" s="800">
        <f t="shared" si="58"/>
        <v>4.1666666666666666E-3</v>
      </c>
      <c r="I146" s="801">
        <f t="shared" ref="I146:S146" si="60">H146</f>
        <v>4.1666666666666666E-3</v>
      </c>
      <c r="J146" s="801">
        <f t="shared" si="60"/>
        <v>4.1666666666666666E-3</v>
      </c>
      <c r="K146" s="801">
        <f t="shared" si="60"/>
        <v>4.1666666666666666E-3</v>
      </c>
      <c r="L146" s="801">
        <f t="shared" si="60"/>
        <v>4.1666666666666666E-3</v>
      </c>
      <c r="M146" s="801">
        <f t="shared" si="60"/>
        <v>4.1666666666666666E-3</v>
      </c>
      <c r="N146" s="801">
        <f t="shared" si="60"/>
        <v>4.1666666666666666E-3</v>
      </c>
      <c r="O146" s="801">
        <f t="shared" si="60"/>
        <v>4.1666666666666666E-3</v>
      </c>
      <c r="P146" s="801">
        <f t="shared" si="60"/>
        <v>4.1666666666666666E-3</v>
      </c>
      <c r="Q146" s="801">
        <f t="shared" si="60"/>
        <v>4.1666666666666666E-3</v>
      </c>
      <c r="R146" s="801">
        <f t="shared" si="60"/>
        <v>4.1666666666666666E-3</v>
      </c>
      <c r="S146" s="802">
        <f t="shared" si="60"/>
        <v>4.1666666666666666E-3</v>
      </c>
    </row>
    <row r="147" spans="1:19" s="25" customFormat="1" ht="12.75" outlineLevel="1">
      <c r="A147" s="331"/>
      <c r="B147" s="339" t="s">
        <v>321</v>
      </c>
      <c r="C147" s="47" t="s">
        <v>279</v>
      </c>
      <c r="D147" s="357">
        <f t="shared" ca="1" si="57"/>
        <v>2152</v>
      </c>
      <c r="E147" s="804">
        <v>0.05</v>
      </c>
      <c r="F147" s="690" t="s">
        <v>322</v>
      </c>
      <c r="G147" s="658">
        <f ca="1">'App 6_Yr 1 Capex'!E18+'App 6_Yr 1 Capex'!E18</f>
        <v>43040</v>
      </c>
      <c r="H147" s="800">
        <f t="shared" si="58"/>
        <v>4.1666666666666666E-3</v>
      </c>
      <c r="I147" s="801">
        <f t="shared" ref="I147:S147" si="61">H147</f>
        <v>4.1666666666666666E-3</v>
      </c>
      <c r="J147" s="801">
        <f t="shared" si="61"/>
        <v>4.1666666666666666E-3</v>
      </c>
      <c r="K147" s="801">
        <f t="shared" si="61"/>
        <v>4.1666666666666666E-3</v>
      </c>
      <c r="L147" s="801">
        <f t="shared" si="61"/>
        <v>4.1666666666666666E-3</v>
      </c>
      <c r="M147" s="801">
        <f t="shared" si="61"/>
        <v>4.1666666666666666E-3</v>
      </c>
      <c r="N147" s="801">
        <f t="shared" si="61"/>
        <v>4.1666666666666666E-3</v>
      </c>
      <c r="O147" s="801">
        <f t="shared" si="61"/>
        <v>4.1666666666666666E-3</v>
      </c>
      <c r="P147" s="801">
        <f t="shared" si="61"/>
        <v>4.1666666666666666E-3</v>
      </c>
      <c r="Q147" s="801">
        <f t="shared" si="61"/>
        <v>4.1666666666666666E-3</v>
      </c>
      <c r="R147" s="801">
        <f t="shared" si="61"/>
        <v>4.1666666666666666E-3</v>
      </c>
      <c r="S147" s="802">
        <f t="shared" si="61"/>
        <v>4.1666666666666666E-3</v>
      </c>
    </row>
    <row r="148" spans="1:19" s="25" customFormat="1" ht="12.75" outlineLevel="1">
      <c r="A148" s="331"/>
      <c r="B148" s="339" t="s">
        <v>198</v>
      </c>
      <c r="C148" s="47" t="s">
        <v>279</v>
      </c>
      <c r="D148" s="357">
        <f t="shared" ca="1" si="57"/>
        <v>15484.85</v>
      </c>
      <c r="E148" s="804">
        <v>0.05</v>
      </c>
      <c r="F148" s="690" t="s">
        <v>323</v>
      </c>
      <c r="G148" s="658">
        <f ca="1">'App 6_Yr 1 Capex'!E21-SUM('App 11_Yr1 Op Exp'!G144:G147)</f>
        <v>309697</v>
      </c>
      <c r="H148" s="800">
        <f t="shared" si="58"/>
        <v>4.1666666666666666E-3</v>
      </c>
      <c r="I148" s="801">
        <f t="shared" ref="I148:S148" si="62">H148</f>
        <v>4.1666666666666666E-3</v>
      </c>
      <c r="J148" s="801">
        <f t="shared" si="62"/>
        <v>4.1666666666666666E-3</v>
      </c>
      <c r="K148" s="801">
        <f t="shared" si="62"/>
        <v>4.1666666666666666E-3</v>
      </c>
      <c r="L148" s="801">
        <f t="shared" si="62"/>
        <v>4.1666666666666666E-3</v>
      </c>
      <c r="M148" s="801">
        <f t="shared" si="62"/>
        <v>4.1666666666666666E-3</v>
      </c>
      <c r="N148" s="801">
        <f t="shared" si="62"/>
        <v>4.1666666666666666E-3</v>
      </c>
      <c r="O148" s="801">
        <f t="shared" si="62"/>
        <v>4.1666666666666666E-3</v>
      </c>
      <c r="P148" s="801">
        <f t="shared" si="62"/>
        <v>4.1666666666666666E-3</v>
      </c>
      <c r="Q148" s="801">
        <f t="shared" si="62"/>
        <v>4.1666666666666666E-3</v>
      </c>
      <c r="R148" s="801">
        <f t="shared" si="62"/>
        <v>4.1666666666666666E-3</v>
      </c>
      <c r="S148" s="802">
        <f t="shared" si="62"/>
        <v>4.1666666666666666E-3</v>
      </c>
    </row>
    <row r="149" spans="1:19" s="25" customFormat="1" ht="12.75" outlineLevel="1">
      <c r="A149" s="331"/>
      <c r="B149" s="339"/>
      <c r="C149" s="47" t="s">
        <v>279</v>
      </c>
      <c r="D149" s="357"/>
      <c r="E149" s="664"/>
      <c r="F149" s="690"/>
      <c r="G149" s="665"/>
      <c r="H149" s="657"/>
      <c r="I149" s="680"/>
      <c r="J149" s="680"/>
      <c r="K149" s="680"/>
      <c r="L149" s="680"/>
      <c r="M149" s="680"/>
      <c r="N149" s="680"/>
      <c r="O149" s="680"/>
      <c r="P149" s="680"/>
      <c r="Q149" s="680"/>
      <c r="R149" s="680"/>
      <c r="S149" s="681"/>
    </row>
    <row r="150" spans="1:19" s="25" customFormat="1" ht="12.75" outlineLevel="1">
      <c r="A150" s="331"/>
      <c r="B150" s="342" t="s">
        <v>234</v>
      </c>
      <c r="C150" s="343"/>
      <c r="D150" s="370">
        <f ca="1">SUM(D144:D149)</f>
        <v>362185.1</v>
      </c>
      <c r="E150" s="666"/>
      <c r="F150" s="691"/>
      <c r="G150" s="667"/>
      <c r="H150" s="805">
        <f>SUM(H144:H149)</f>
        <v>2.0833333333333332E-2</v>
      </c>
      <c r="I150" s="806">
        <f>SUM(I144:I149)</f>
        <v>2.0833333333333332E-2</v>
      </c>
      <c r="J150" s="806">
        <f t="shared" ref="J150:S150" si="63">SUM(J144:J149)</f>
        <v>2.0833333333333332E-2</v>
      </c>
      <c r="K150" s="806">
        <f t="shared" si="63"/>
        <v>2.0833333333333332E-2</v>
      </c>
      <c r="L150" s="806">
        <f t="shared" si="63"/>
        <v>2.0833333333333332E-2</v>
      </c>
      <c r="M150" s="806">
        <f t="shared" si="63"/>
        <v>2.0833333333333332E-2</v>
      </c>
      <c r="N150" s="806">
        <f t="shared" si="63"/>
        <v>2.0833333333333332E-2</v>
      </c>
      <c r="O150" s="806">
        <f t="shared" si="63"/>
        <v>2.0833333333333332E-2</v>
      </c>
      <c r="P150" s="806">
        <f t="shared" si="63"/>
        <v>2.0833333333333332E-2</v>
      </c>
      <c r="Q150" s="806">
        <f t="shared" si="63"/>
        <v>2.0833333333333332E-2</v>
      </c>
      <c r="R150" s="806">
        <f t="shared" si="63"/>
        <v>2.0833333333333332E-2</v>
      </c>
      <c r="S150" s="807">
        <f t="shared" si="63"/>
        <v>2.0833333333333332E-2</v>
      </c>
    </row>
    <row r="151" spans="1:19" s="25" customFormat="1" ht="12.75" outlineLevel="1">
      <c r="A151" s="331"/>
      <c r="D151" s="49"/>
      <c r="E151" s="49"/>
      <c r="F151" s="692"/>
      <c r="G151" s="332"/>
      <c r="H151" s="669"/>
      <c r="I151" s="669"/>
      <c r="J151" s="669"/>
      <c r="K151" s="669"/>
      <c r="L151" s="669"/>
      <c r="M151" s="669"/>
      <c r="N151" s="669"/>
      <c r="O151" s="669"/>
      <c r="P151" s="669"/>
      <c r="Q151" s="669"/>
      <c r="R151" s="669"/>
      <c r="S151" s="669"/>
    </row>
    <row r="152" spans="1:19" s="25" customFormat="1" ht="12.75" outlineLevel="1">
      <c r="A152" s="331"/>
      <c r="B152" s="371" t="s">
        <v>198</v>
      </c>
      <c r="C152" s="47"/>
      <c r="D152" s="226"/>
      <c r="E152" s="662"/>
      <c r="F152" s="689"/>
      <c r="G152" s="663"/>
      <c r="H152" s="673"/>
      <c r="I152" s="674"/>
      <c r="J152" s="674"/>
      <c r="K152" s="674"/>
      <c r="L152" s="674"/>
      <c r="M152" s="674"/>
      <c r="N152" s="674"/>
      <c r="O152" s="674"/>
      <c r="P152" s="674"/>
      <c r="Q152" s="674"/>
      <c r="R152" s="674"/>
      <c r="S152" s="675"/>
    </row>
    <row r="153" spans="1:19" s="25" customFormat="1" ht="12.75" outlineLevel="1">
      <c r="A153" s="331"/>
      <c r="B153" s="339" t="s">
        <v>324</v>
      </c>
      <c r="C153" s="47" t="s">
        <v>198</v>
      </c>
      <c r="D153" s="357">
        <f>G153*E153</f>
        <v>49484.012082674846</v>
      </c>
      <c r="E153" s="657">
        <f>SUM(H153:S153)</f>
        <v>12</v>
      </c>
      <c r="F153" s="690"/>
      <c r="G153" s="665">
        <f>'App 1_5Yr Revenue'!E22*'App 11_Yr1 Op Exp'!D29/E153</f>
        <v>4123.6676735562369</v>
      </c>
      <c r="H153" s="682">
        <v>1</v>
      </c>
      <c r="I153" s="683">
        <v>1</v>
      </c>
      <c r="J153" s="683">
        <v>1</v>
      </c>
      <c r="K153" s="683">
        <v>1</v>
      </c>
      <c r="L153" s="683">
        <v>1</v>
      </c>
      <c r="M153" s="683">
        <v>1</v>
      </c>
      <c r="N153" s="683">
        <v>1</v>
      </c>
      <c r="O153" s="683">
        <v>1</v>
      </c>
      <c r="P153" s="683">
        <v>1</v>
      </c>
      <c r="Q153" s="683">
        <v>1</v>
      </c>
      <c r="R153" s="683">
        <v>1</v>
      </c>
      <c r="S153" s="684">
        <v>1</v>
      </c>
    </row>
    <row r="154" spans="1:19" s="25" customFormat="1" ht="12.75" outlineLevel="1">
      <c r="A154" s="331"/>
      <c r="B154" s="339" t="s">
        <v>325</v>
      </c>
      <c r="C154" s="47" t="s">
        <v>198</v>
      </c>
      <c r="D154" s="357">
        <f t="shared" ref="D154:D157" si="64">G154*E154</f>
        <v>500</v>
      </c>
      <c r="E154" s="657">
        <f t="shared" ref="E154:E157" si="65">SUM(H154:S154)</f>
        <v>1</v>
      </c>
      <c r="F154" s="690" t="s">
        <v>296</v>
      </c>
      <c r="G154" s="665">
        <f>'App 10_5Yr Op Exp'!E41</f>
        <v>500</v>
      </c>
      <c r="H154" s="682"/>
      <c r="I154" s="683"/>
      <c r="J154" s="683"/>
      <c r="K154" s="683"/>
      <c r="L154" s="683">
        <v>1</v>
      </c>
      <c r="M154" s="683"/>
      <c r="N154" s="683"/>
      <c r="O154" s="683"/>
      <c r="P154" s="683"/>
      <c r="Q154" s="683"/>
      <c r="R154" s="683"/>
      <c r="S154" s="684"/>
    </row>
    <row r="155" spans="1:19" s="25" customFormat="1" ht="12.75" outlineLevel="1">
      <c r="A155" s="331"/>
      <c r="B155" s="339" t="s">
        <v>326</v>
      </c>
      <c r="C155" s="47" t="s">
        <v>198</v>
      </c>
      <c r="D155" s="357">
        <f t="shared" si="64"/>
        <v>6000</v>
      </c>
      <c r="E155" s="657">
        <f t="shared" si="65"/>
        <v>12</v>
      </c>
      <c r="F155" s="690" t="s">
        <v>296</v>
      </c>
      <c r="G155" s="665">
        <f>'App 10_5Yr Op Exp'!E42</f>
        <v>500</v>
      </c>
      <c r="H155" s="682">
        <v>1</v>
      </c>
      <c r="I155" s="683">
        <v>1</v>
      </c>
      <c r="J155" s="683">
        <v>1</v>
      </c>
      <c r="K155" s="683">
        <v>1</v>
      </c>
      <c r="L155" s="683">
        <v>1</v>
      </c>
      <c r="M155" s="683">
        <v>1</v>
      </c>
      <c r="N155" s="683">
        <v>1</v>
      </c>
      <c r="O155" s="683">
        <v>1</v>
      </c>
      <c r="P155" s="683">
        <v>1</v>
      </c>
      <c r="Q155" s="683">
        <v>1</v>
      </c>
      <c r="R155" s="683">
        <v>1</v>
      </c>
      <c r="S155" s="684">
        <v>1</v>
      </c>
    </row>
    <row r="156" spans="1:19" s="25" customFormat="1" ht="12.75" outlineLevel="1">
      <c r="A156" s="331"/>
      <c r="B156" s="339" t="s">
        <v>1030</v>
      </c>
      <c r="C156" s="47" t="s">
        <v>198</v>
      </c>
      <c r="D156" s="357">
        <f t="shared" si="64"/>
        <v>12000</v>
      </c>
      <c r="E156" s="657">
        <f t="shared" si="65"/>
        <v>12</v>
      </c>
      <c r="F156" s="690" t="s">
        <v>296</v>
      </c>
      <c r="G156" s="665">
        <f>'App 10_5Yr Op Exp'!E43</f>
        <v>1000</v>
      </c>
      <c r="H156" s="682">
        <v>1</v>
      </c>
      <c r="I156" s="683">
        <v>1</v>
      </c>
      <c r="J156" s="683">
        <v>1</v>
      </c>
      <c r="K156" s="683">
        <v>1</v>
      </c>
      <c r="L156" s="683">
        <v>1</v>
      </c>
      <c r="M156" s="683">
        <v>1</v>
      </c>
      <c r="N156" s="683">
        <v>1</v>
      </c>
      <c r="O156" s="683">
        <v>1</v>
      </c>
      <c r="P156" s="683">
        <v>1</v>
      </c>
      <c r="Q156" s="683">
        <v>1</v>
      </c>
      <c r="R156" s="683">
        <v>1</v>
      </c>
      <c r="S156" s="684">
        <v>1</v>
      </c>
    </row>
    <row r="157" spans="1:19" s="25" customFormat="1" ht="12.75" outlineLevel="1">
      <c r="A157" s="331"/>
      <c r="B157" s="339" t="s">
        <v>328</v>
      </c>
      <c r="C157" s="47" t="s">
        <v>198</v>
      </c>
      <c r="D157" s="357">
        <f t="shared" si="64"/>
        <v>49484.012082674846</v>
      </c>
      <c r="E157" s="657">
        <f t="shared" si="65"/>
        <v>12</v>
      </c>
      <c r="F157" s="690" t="s">
        <v>296</v>
      </c>
      <c r="G157" s="665">
        <f>'App 1_5Yr Revenue'!E13*'App 11_Yr1 Op Exp'!D30/E157</f>
        <v>4123.6676735562369</v>
      </c>
      <c r="H157" s="682">
        <v>1</v>
      </c>
      <c r="I157" s="683">
        <v>1</v>
      </c>
      <c r="J157" s="683">
        <v>1</v>
      </c>
      <c r="K157" s="683">
        <v>1</v>
      </c>
      <c r="L157" s="683">
        <v>1</v>
      </c>
      <c r="M157" s="683">
        <v>1</v>
      </c>
      <c r="N157" s="683">
        <v>1</v>
      </c>
      <c r="O157" s="683">
        <v>1</v>
      </c>
      <c r="P157" s="683">
        <v>1</v>
      </c>
      <c r="Q157" s="683">
        <v>1</v>
      </c>
      <c r="R157" s="683">
        <v>1</v>
      </c>
      <c r="S157" s="684">
        <v>1</v>
      </c>
    </row>
    <row r="158" spans="1:19" s="25" customFormat="1" ht="12.75" outlineLevel="1">
      <c r="A158" s="331"/>
      <c r="B158" s="339"/>
      <c r="C158" s="47" t="s">
        <v>198</v>
      </c>
      <c r="D158" s="357"/>
      <c r="E158" s="664"/>
      <c r="F158" s="690"/>
      <c r="G158" s="665"/>
      <c r="H158" s="657"/>
      <c r="I158" s="680"/>
      <c r="J158" s="680"/>
      <c r="K158" s="680"/>
      <c r="L158" s="680"/>
      <c r="M158" s="680"/>
      <c r="N158" s="680"/>
      <c r="O158" s="680"/>
      <c r="P158" s="680"/>
      <c r="Q158" s="680"/>
      <c r="R158" s="680"/>
      <c r="S158" s="681"/>
    </row>
    <row r="159" spans="1:19" s="25" customFormat="1" ht="12.75" outlineLevel="1">
      <c r="A159" s="331"/>
      <c r="B159" s="342" t="s">
        <v>234</v>
      </c>
      <c r="C159" s="343"/>
      <c r="D159" s="370">
        <f>SUM(D153:D158)</f>
        <v>117468.02416534969</v>
      </c>
      <c r="E159" s="666"/>
      <c r="F159" s="691"/>
      <c r="G159" s="667"/>
      <c r="H159" s="677">
        <f>SUM(H153:H158)</f>
        <v>4</v>
      </c>
      <c r="I159" s="678">
        <f>SUM(I153:I158)</f>
        <v>4</v>
      </c>
      <c r="J159" s="678">
        <f t="shared" ref="J159:S159" si="66">SUM(J153:J158)</f>
        <v>4</v>
      </c>
      <c r="K159" s="678">
        <f t="shared" si="66"/>
        <v>4</v>
      </c>
      <c r="L159" s="678">
        <f t="shared" si="66"/>
        <v>5</v>
      </c>
      <c r="M159" s="678">
        <f t="shared" si="66"/>
        <v>4</v>
      </c>
      <c r="N159" s="678">
        <f t="shared" si="66"/>
        <v>4</v>
      </c>
      <c r="O159" s="678">
        <f t="shared" si="66"/>
        <v>4</v>
      </c>
      <c r="P159" s="678">
        <f t="shared" si="66"/>
        <v>4</v>
      </c>
      <c r="Q159" s="678">
        <f t="shared" si="66"/>
        <v>4</v>
      </c>
      <c r="R159" s="678">
        <f t="shared" si="66"/>
        <v>4</v>
      </c>
      <c r="S159" s="679">
        <f t="shared" si="66"/>
        <v>4</v>
      </c>
    </row>
    <row r="160" spans="1:19" s="25" customFormat="1" ht="12.75" outlineLevel="1">
      <c r="A160" s="331"/>
      <c r="F160" s="216"/>
      <c r="G160" s="128"/>
      <c r="H160" s="332"/>
      <c r="I160" s="332"/>
    </row>
    <row r="161" spans="1:9" s="20" customFormat="1">
      <c r="A161" s="215"/>
      <c r="F161" s="216"/>
      <c r="G161" s="128"/>
      <c r="H161" s="158"/>
      <c r="I161" s="158"/>
    </row>
    <row r="162" spans="1:9" s="20" customFormat="1">
      <c r="A162" s="215"/>
      <c r="F162" s="216"/>
      <c r="G162" s="128"/>
      <c r="H162" s="158"/>
      <c r="I162" s="158"/>
    </row>
    <row r="163" spans="1:9" s="20" customFormat="1">
      <c r="A163" s="215"/>
      <c r="F163" s="216"/>
      <c r="G163" s="128"/>
      <c r="H163" s="158"/>
      <c r="I163" s="158"/>
    </row>
    <row r="164" spans="1:9" s="20" customFormat="1">
      <c r="A164" s="215"/>
      <c r="F164" s="216"/>
      <c r="G164" s="128"/>
      <c r="H164" s="158"/>
      <c r="I164" s="158"/>
    </row>
    <row r="165" spans="1:9" s="20" customFormat="1">
      <c r="A165" s="215"/>
      <c r="F165" s="216"/>
      <c r="G165" s="128"/>
      <c r="H165" s="158"/>
      <c r="I165" s="158"/>
    </row>
    <row r="166" spans="1:9" s="20" customFormat="1">
      <c r="A166" s="215"/>
      <c r="F166" s="216"/>
      <c r="G166" s="128"/>
      <c r="H166" s="158"/>
      <c r="I166" s="158"/>
    </row>
    <row r="167" spans="1:9" s="20" customFormat="1">
      <c r="A167" s="215"/>
      <c r="F167" s="216"/>
      <c r="G167" s="128"/>
      <c r="H167" s="158"/>
      <c r="I167" s="158"/>
    </row>
    <row r="168" spans="1:9" s="20" customFormat="1">
      <c r="A168" s="215"/>
      <c r="F168" s="216"/>
      <c r="G168" s="128"/>
      <c r="H168" s="158"/>
      <c r="I168" s="158"/>
    </row>
    <row r="169" spans="1:9" s="20" customFormat="1">
      <c r="A169" s="215"/>
      <c r="F169" s="216"/>
      <c r="G169" s="128"/>
      <c r="H169" s="158"/>
      <c r="I169" s="158"/>
    </row>
    <row r="170" spans="1:9" s="20" customFormat="1">
      <c r="A170" s="215"/>
      <c r="F170" s="216"/>
      <c r="G170" s="128"/>
      <c r="H170" s="158"/>
      <c r="I170" s="158"/>
    </row>
    <row r="171" spans="1:9" s="20" customFormat="1">
      <c r="A171" s="215"/>
      <c r="F171" s="216"/>
      <c r="G171" s="128"/>
      <c r="H171" s="158"/>
      <c r="I171" s="158"/>
    </row>
    <row r="172" spans="1:9" s="20" customFormat="1">
      <c r="A172" s="215"/>
      <c r="F172" s="216"/>
      <c r="G172" s="128"/>
      <c r="H172" s="158"/>
      <c r="I172" s="158"/>
    </row>
    <row r="173" spans="1:9" s="20" customFormat="1">
      <c r="A173" s="215"/>
      <c r="F173" s="216"/>
      <c r="G173" s="128"/>
      <c r="H173" s="158"/>
      <c r="I173" s="158"/>
    </row>
    <row r="174" spans="1:9" s="20" customFormat="1">
      <c r="A174" s="215"/>
      <c r="F174" s="216"/>
      <c r="G174" s="128"/>
      <c r="H174" s="158"/>
      <c r="I174" s="158"/>
    </row>
    <row r="175" spans="1:9" s="20" customFormat="1">
      <c r="A175" s="215"/>
      <c r="F175" s="216"/>
      <c r="G175" s="128"/>
      <c r="H175" s="158"/>
      <c r="I175" s="158"/>
    </row>
    <row r="176" spans="1:9" s="20" customFormat="1">
      <c r="A176" s="215"/>
      <c r="F176" s="216"/>
      <c r="G176" s="128"/>
      <c r="H176" s="158"/>
      <c r="I176" s="158"/>
    </row>
    <row r="177" spans="1:9" s="20" customFormat="1">
      <c r="A177" s="215"/>
      <c r="F177" s="216"/>
      <c r="G177" s="128"/>
      <c r="H177" s="158"/>
      <c r="I177" s="158"/>
    </row>
    <row r="178" spans="1:9" s="20" customFormat="1">
      <c r="A178" s="215"/>
      <c r="F178" s="216"/>
      <c r="G178" s="128"/>
      <c r="H178" s="158"/>
      <c r="I178" s="158"/>
    </row>
    <row r="179" spans="1:9" s="20" customFormat="1">
      <c r="A179" s="215"/>
      <c r="F179" s="216"/>
      <c r="G179" s="128"/>
      <c r="H179" s="158"/>
      <c r="I179" s="158"/>
    </row>
    <row r="180" spans="1:9" s="20" customFormat="1">
      <c r="A180" s="215"/>
      <c r="F180" s="216"/>
      <c r="G180" s="128"/>
      <c r="H180" s="158"/>
      <c r="I180" s="158"/>
    </row>
    <row r="181" spans="1:9" s="20" customFormat="1">
      <c r="A181" s="215"/>
      <c r="F181" s="216"/>
      <c r="G181" s="128"/>
      <c r="H181" s="158"/>
      <c r="I181" s="158"/>
    </row>
    <row r="182" spans="1:9" s="20" customFormat="1">
      <c r="A182" s="215"/>
      <c r="F182" s="216"/>
      <c r="G182" s="128"/>
      <c r="H182" s="158"/>
      <c r="I182" s="158"/>
    </row>
    <row r="183" spans="1:9" s="20" customFormat="1">
      <c r="A183" s="215"/>
      <c r="F183" s="216"/>
      <c r="G183" s="128"/>
      <c r="H183" s="158"/>
      <c r="I183" s="158"/>
    </row>
    <row r="184" spans="1:9" s="20" customFormat="1">
      <c r="A184" s="215"/>
      <c r="F184" s="216"/>
      <c r="G184" s="128"/>
      <c r="H184" s="158"/>
      <c r="I184" s="158"/>
    </row>
    <row r="185" spans="1:9" s="20" customFormat="1">
      <c r="A185" s="215"/>
      <c r="F185" s="216"/>
      <c r="G185" s="128"/>
      <c r="H185" s="158"/>
      <c r="I185" s="158"/>
    </row>
    <row r="186" spans="1:9" s="20" customFormat="1">
      <c r="A186" s="215"/>
      <c r="F186" s="216"/>
      <c r="G186" s="128"/>
      <c r="H186" s="158"/>
      <c r="I186" s="158"/>
    </row>
    <row r="187" spans="1:9" s="20" customFormat="1">
      <c r="A187" s="215"/>
      <c r="F187" s="216"/>
      <c r="G187" s="128"/>
      <c r="H187" s="158"/>
      <c r="I187" s="158"/>
    </row>
    <row r="188" spans="1:9" s="20" customFormat="1">
      <c r="A188" s="215"/>
      <c r="F188" s="216"/>
      <c r="G188" s="128"/>
      <c r="H188" s="158"/>
      <c r="I188" s="158"/>
    </row>
    <row r="189" spans="1:9" s="20" customFormat="1">
      <c r="A189" s="215"/>
      <c r="F189" s="216"/>
      <c r="G189" s="128"/>
      <c r="H189" s="158"/>
      <c r="I189" s="158"/>
    </row>
    <row r="190" spans="1:9" s="20" customFormat="1">
      <c r="A190" s="215"/>
      <c r="F190" s="216"/>
      <c r="G190" s="128"/>
      <c r="H190" s="158"/>
      <c r="I190" s="158"/>
    </row>
    <row r="191" spans="1:9" s="20" customFormat="1">
      <c r="A191" s="215"/>
      <c r="F191" s="216"/>
      <c r="G191" s="128"/>
      <c r="H191" s="158"/>
      <c r="I191" s="158"/>
    </row>
    <row r="192" spans="1:9" s="20" customFormat="1">
      <c r="A192" s="215"/>
      <c r="F192" s="216"/>
      <c r="G192" s="128"/>
      <c r="H192" s="158"/>
      <c r="I192" s="158"/>
    </row>
    <row r="193" spans="1:9" s="20" customFormat="1">
      <c r="A193" s="215"/>
      <c r="F193" s="216"/>
      <c r="G193" s="128"/>
      <c r="H193" s="158"/>
      <c r="I193" s="158"/>
    </row>
    <row r="194" spans="1:9" s="20" customFormat="1">
      <c r="A194" s="215"/>
      <c r="F194" s="216"/>
      <c r="G194" s="128"/>
      <c r="H194" s="158"/>
      <c r="I194" s="158"/>
    </row>
    <row r="195" spans="1:9" s="20" customFormat="1">
      <c r="A195" s="215"/>
      <c r="F195" s="216"/>
      <c r="G195" s="128"/>
      <c r="H195" s="158"/>
      <c r="I195" s="158"/>
    </row>
    <row r="196" spans="1:9" s="20" customFormat="1">
      <c r="A196" s="215"/>
      <c r="F196" s="216"/>
      <c r="G196" s="128"/>
      <c r="H196" s="158"/>
      <c r="I196" s="158"/>
    </row>
    <row r="197" spans="1:9" s="20" customFormat="1">
      <c r="A197" s="215"/>
      <c r="F197" s="216"/>
      <c r="G197" s="128"/>
      <c r="H197" s="158"/>
      <c r="I197" s="158"/>
    </row>
    <row r="198" spans="1:9" s="20" customFormat="1">
      <c r="A198" s="215"/>
      <c r="F198" s="216"/>
      <c r="G198" s="128"/>
      <c r="H198" s="158"/>
      <c r="I198" s="158"/>
    </row>
    <row r="199" spans="1:9" s="20" customFormat="1">
      <c r="A199" s="215"/>
      <c r="F199" s="216"/>
      <c r="G199" s="128"/>
      <c r="H199" s="158"/>
      <c r="I199" s="158"/>
    </row>
    <row r="200" spans="1:9" s="20" customFormat="1">
      <c r="A200" s="215"/>
      <c r="F200" s="216"/>
      <c r="G200" s="128"/>
      <c r="H200" s="158"/>
      <c r="I200" s="158"/>
    </row>
    <row r="201" spans="1:9" s="20" customFormat="1">
      <c r="A201" s="215"/>
      <c r="F201" s="216"/>
      <c r="G201" s="128"/>
      <c r="H201" s="158"/>
      <c r="I201" s="158"/>
    </row>
    <row r="202" spans="1:9" s="20" customFormat="1">
      <c r="A202" s="215"/>
      <c r="F202" s="216"/>
      <c r="G202" s="128"/>
      <c r="H202" s="158"/>
      <c r="I202" s="158"/>
    </row>
    <row r="203" spans="1:9" s="20" customFormat="1">
      <c r="A203" s="215"/>
      <c r="F203" s="216"/>
      <c r="G203" s="128"/>
      <c r="H203" s="158"/>
      <c r="I203" s="158"/>
    </row>
    <row r="204" spans="1:9" s="20" customFormat="1">
      <c r="A204" s="215"/>
      <c r="F204" s="216"/>
      <c r="G204" s="128"/>
      <c r="H204" s="158"/>
      <c r="I204" s="158"/>
    </row>
    <row r="205" spans="1:9" s="20" customFormat="1">
      <c r="A205" s="215"/>
      <c r="F205" s="216"/>
      <c r="G205" s="128"/>
      <c r="H205" s="158"/>
      <c r="I205" s="158"/>
    </row>
    <row r="206" spans="1:9" s="20" customFormat="1">
      <c r="A206" s="215"/>
      <c r="F206" s="216"/>
      <c r="G206" s="128"/>
      <c r="H206" s="158"/>
      <c r="I206" s="158"/>
    </row>
    <row r="207" spans="1:9" s="20" customFormat="1">
      <c r="A207" s="215"/>
      <c r="F207" s="216"/>
      <c r="G207" s="128"/>
      <c r="H207" s="158"/>
      <c r="I207" s="158"/>
    </row>
    <row r="208" spans="1:9" s="20" customFormat="1">
      <c r="A208" s="215"/>
      <c r="F208" s="216"/>
      <c r="G208" s="128"/>
      <c r="H208" s="158"/>
      <c r="I208" s="158"/>
    </row>
    <row r="209" spans="1:9" s="20" customFormat="1">
      <c r="A209" s="215"/>
      <c r="F209" s="216"/>
      <c r="G209" s="128"/>
      <c r="H209" s="158"/>
      <c r="I209" s="158"/>
    </row>
    <row r="210" spans="1:9" s="20" customFormat="1">
      <c r="A210" s="215"/>
      <c r="F210" s="216"/>
      <c r="G210" s="128"/>
      <c r="H210" s="158"/>
      <c r="I210" s="158"/>
    </row>
    <row r="211" spans="1:9" s="20" customFormat="1">
      <c r="A211" s="215"/>
      <c r="F211" s="216"/>
      <c r="G211" s="128"/>
      <c r="H211" s="158"/>
      <c r="I211" s="158"/>
    </row>
    <row r="212" spans="1:9" s="20" customFormat="1">
      <c r="A212" s="215"/>
      <c r="F212" s="216"/>
      <c r="G212" s="128"/>
      <c r="H212" s="158"/>
      <c r="I212" s="158"/>
    </row>
    <row r="213" spans="1:9" s="20" customFormat="1">
      <c r="A213" s="215"/>
      <c r="F213" s="216"/>
      <c r="G213" s="128"/>
      <c r="H213" s="158"/>
      <c r="I213" s="158"/>
    </row>
    <row r="214" spans="1:9" s="20" customFormat="1">
      <c r="A214" s="215"/>
      <c r="F214" s="216"/>
      <c r="G214" s="128"/>
      <c r="H214" s="158"/>
      <c r="I214" s="158"/>
    </row>
    <row r="215" spans="1:9" s="20" customFormat="1">
      <c r="A215" s="215"/>
      <c r="F215" s="216"/>
      <c r="G215" s="128"/>
      <c r="H215" s="158"/>
      <c r="I215" s="158"/>
    </row>
    <row r="216" spans="1:9" s="20" customFormat="1">
      <c r="A216" s="215"/>
      <c r="F216" s="216"/>
      <c r="G216" s="128"/>
      <c r="H216" s="158"/>
      <c r="I216" s="158"/>
    </row>
    <row r="217" spans="1:9" s="20" customFormat="1">
      <c r="A217" s="215"/>
      <c r="F217" s="216"/>
      <c r="G217" s="128"/>
      <c r="H217" s="158"/>
      <c r="I217" s="158"/>
    </row>
    <row r="218" spans="1:9" s="20" customFormat="1">
      <c r="A218" s="215"/>
      <c r="F218" s="216"/>
      <c r="G218" s="128"/>
      <c r="H218" s="158"/>
      <c r="I218" s="158"/>
    </row>
    <row r="219" spans="1:9" s="20" customFormat="1">
      <c r="A219" s="215"/>
      <c r="F219" s="216"/>
      <c r="G219" s="128"/>
      <c r="H219" s="158"/>
      <c r="I219" s="158"/>
    </row>
    <row r="220" spans="1:9" s="20" customFormat="1">
      <c r="A220" s="215"/>
      <c r="F220" s="216"/>
      <c r="G220" s="128"/>
      <c r="H220" s="158"/>
      <c r="I220" s="158"/>
    </row>
    <row r="221" spans="1:9" s="20" customFormat="1">
      <c r="A221" s="215"/>
      <c r="F221" s="216"/>
      <c r="G221" s="128"/>
      <c r="H221" s="158"/>
      <c r="I221" s="158"/>
    </row>
    <row r="222" spans="1:9" s="20" customFormat="1">
      <c r="A222" s="215"/>
      <c r="F222" s="216"/>
      <c r="G222" s="128"/>
      <c r="H222" s="158"/>
      <c r="I222" s="158"/>
    </row>
    <row r="223" spans="1:9" s="20" customFormat="1">
      <c r="A223" s="215"/>
      <c r="F223" s="216"/>
      <c r="G223" s="128"/>
      <c r="H223" s="158"/>
      <c r="I223" s="158"/>
    </row>
    <row r="224" spans="1:9" s="20" customFormat="1">
      <c r="A224" s="215"/>
      <c r="F224" s="216"/>
      <c r="G224" s="128"/>
      <c r="H224" s="158"/>
      <c r="I224" s="158"/>
    </row>
    <row r="225" spans="1:9" s="20" customFormat="1">
      <c r="A225" s="215"/>
      <c r="F225" s="216"/>
      <c r="G225" s="128"/>
      <c r="H225" s="158"/>
      <c r="I225" s="158"/>
    </row>
    <row r="226" spans="1:9" s="20" customFormat="1">
      <c r="A226" s="215"/>
      <c r="F226" s="216"/>
      <c r="G226" s="128"/>
      <c r="H226" s="158"/>
      <c r="I226" s="158"/>
    </row>
    <row r="227" spans="1:9" s="20" customFormat="1">
      <c r="A227" s="215"/>
      <c r="F227" s="216"/>
      <c r="G227" s="128"/>
      <c r="H227" s="158"/>
      <c r="I227" s="158"/>
    </row>
    <row r="228" spans="1:9" s="20" customFormat="1">
      <c r="A228" s="215"/>
      <c r="F228" s="216"/>
      <c r="G228" s="128"/>
      <c r="H228" s="158"/>
      <c r="I228" s="158"/>
    </row>
    <row r="229" spans="1:9" s="20" customFormat="1">
      <c r="A229" s="215"/>
      <c r="F229" s="216"/>
      <c r="G229" s="128"/>
      <c r="H229" s="158"/>
      <c r="I229" s="158"/>
    </row>
    <row r="230" spans="1:9" s="20" customFormat="1">
      <c r="A230" s="215"/>
      <c r="F230" s="216"/>
      <c r="G230" s="128"/>
      <c r="H230" s="158"/>
      <c r="I230" s="158"/>
    </row>
    <row r="231" spans="1:9" s="20" customFormat="1">
      <c r="A231" s="215"/>
      <c r="F231" s="216"/>
      <c r="G231" s="128"/>
      <c r="H231" s="158"/>
      <c r="I231" s="158"/>
    </row>
    <row r="232" spans="1:9" s="20" customFormat="1">
      <c r="A232" s="215"/>
      <c r="F232" s="216"/>
      <c r="G232" s="128"/>
      <c r="H232" s="158"/>
      <c r="I232" s="158"/>
    </row>
    <row r="233" spans="1:9" s="20" customFormat="1">
      <c r="A233" s="215"/>
      <c r="F233" s="216"/>
      <c r="G233" s="128"/>
      <c r="H233" s="158"/>
      <c r="I233" s="158"/>
    </row>
    <row r="234" spans="1:9" s="20" customFormat="1">
      <c r="A234" s="215"/>
      <c r="F234" s="216"/>
      <c r="G234" s="128"/>
      <c r="H234" s="158"/>
      <c r="I234" s="158"/>
    </row>
    <row r="235" spans="1:9" s="20" customFormat="1">
      <c r="A235" s="215"/>
      <c r="F235" s="216"/>
      <c r="G235" s="128"/>
      <c r="H235" s="158"/>
      <c r="I235" s="158"/>
    </row>
    <row r="236" spans="1:9" s="20" customFormat="1">
      <c r="A236" s="215"/>
      <c r="F236" s="216"/>
      <c r="G236" s="128"/>
      <c r="H236" s="158"/>
      <c r="I236" s="158"/>
    </row>
    <row r="237" spans="1:9" s="20" customFormat="1">
      <c r="A237" s="215"/>
      <c r="F237" s="216"/>
      <c r="G237" s="128"/>
      <c r="H237" s="158"/>
      <c r="I237" s="158"/>
    </row>
    <row r="238" spans="1:9" s="20" customFormat="1">
      <c r="A238" s="215"/>
      <c r="F238" s="216"/>
      <c r="G238" s="128"/>
      <c r="H238" s="158"/>
      <c r="I238" s="158"/>
    </row>
    <row r="239" spans="1:9" s="20" customFormat="1">
      <c r="A239" s="215"/>
      <c r="F239" s="216"/>
      <c r="G239" s="128"/>
      <c r="H239" s="158"/>
      <c r="I239" s="158"/>
    </row>
    <row r="240" spans="1:9" s="20" customFormat="1">
      <c r="A240" s="215"/>
      <c r="F240" s="216"/>
      <c r="G240" s="128"/>
      <c r="H240" s="158"/>
      <c r="I240" s="158"/>
    </row>
    <row r="241" spans="1:9" s="20" customFormat="1">
      <c r="A241" s="215"/>
      <c r="F241" s="216"/>
      <c r="G241" s="128"/>
      <c r="H241" s="158"/>
      <c r="I241" s="158"/>
    </row>
    <row r="242" spans="1:9" s="20" customFormat="1">
      <c r="A242" s="215"/>
      <c r="F242" s="216"/>
      <c r="G242" s="128"/>
      <c r="H242" s="158"/>
      <c r="I242" s="158"/>
    </row>
    <row r="243" spans="1:9" s="20" customFormat="1">
      <c r="A243" s="215"/>
      <c r="F243" s="216"/>
      <c r="G243" s="128"/>
      <c r="H243" s="158"/>
      <c r="I243" s="158"/>
    </row>
    <row r="244" spans="1:9" s="20" customFormat="1">
      <c r="A244" s="215"/>
      <c r="F244" s="216"/>
      <c r="G244" s="128"/>
      <c r="H244" s="158"/>
      <c r="I244" s="158"/>
    </row>
    <row r="245" spans="1:9" s="20" customFormat="1">
      <c r="A245" s="215"/>
      <c r="F245" s="216"/>
      <c r="G245" s="128"/>
      <c r="H245" s="158"/>
      <c r="I245" s="158"/>
    </row>
    <row r="246" spans="1:9" s="20" customFormat="1">
      <c r="A246" s="215"/>
      <c r="F246" s="216"/>
      <c r="G246" s="128"/>
      <c r="H246" s="158"/>
      <c r="I246" s="158"/>
    </row>
    <row r="247" spans="1:9" s="20" customFormat="1">
      <c r="A247" s="215"/>
      <c r="F247" s="216"/>
      <c r="G247" s="128"/>
      <c r="H247" s="158"/>
      <c r="I247" s="158"/>
    </row>
    <row r="248" spans="1:9" s="20" customFormat="1">
      <c r="A248" s="215"/>
      <c r="F248" s="216"/>
      <c r="G248" s="128"/>
      <c r="H248" s="158"/>
      <c r="I248" s="158"/>
    </row>
    <row r="249" spans="1:9" s="20" customFormat="1">
      <c r="A249" s="215"/>
      <c r="F249" s="216"/>
      <c r="G249" s="128"/>
      <c r="H249" s="158"/>
      <c r="I249" s="158"/>
    </row>
    <row r="250" spans="1:9" s="20" customFormat="1">
      <c r="A250" s="215"/>
      <c r="F250" s="216"/>
      <c r="G250" s="128"/>
      <c r="H250" s="158"/>
      <c r="I250" s="158"/>
    </row>
    <row r="251" spans="1:9" s="20" customFormat="1">
      <c r="A251" s="215"/>
      <c r="F251" s="216"/>
      <c r="G251" s="128"/>
      <c r="H251" s="158"/>
      <c r="I251" s="158"/>
    </row>
    <row r="252" spans="1:9" s="20" customFormat="1">
      <c r="A252" s="215"/>
      <c r="F252" s="216"/>
      <c r="G252" s="128"/>
      <c r="H252" s="158"/>
      <c r="I252" s="158"/>
    </row>
    <row r="253" spans="1:9" s="20" customFormat="1">
      <c r="A253" s="215"/>
      <c r="F253" s="216"/>
      <c r="G253" s="128"/>
      <c r="H253" s="158"/>
      <c r="I253" s="158"/>
    </row>
    <row r="254" spans="1:9" s="20" customFormat="1">
      <c r="A254" s="215"/>
      <c r="F254" s="216"/>
      <c r="G254" s="128"/>
      <c r="H254" s="158"/>
      <c r="I254" s="158"/>
    </row>
    <row r="255" spans="1:9" s="20" customFormat="1">
      <c r="A255" s="215"/>
      <c r="F255" s="216"/>
      <c r="G255" s="128"/>
      <c r="H255" s="158"/>
      <c r="I255" s="158"/>
    </row>
    <row r="256" spans="1:9" s="20" customFormat="1">
      <c r="A256" s="215"/>
      <c r="F256" s="216"/>
      <c r="G256" s="128"/>
      <c r="H256" s="158"/>
      <c r="I256" s="158"/>
    </row>
    <row r="257" spans="1:9" s="20" customFormat="1">
      <c r="A257" s="215"/>
      <c r="F257" s="216"/>
      <c r="G257" s="128"/>
      <c r="H257" s="158"/>
      <c r="I257" s="158"/>
    </row>
    <row r="258" spans="1:9" s="20" customFormat="1">
      <c r="A258" s="215"/>
      <c r="F258" s="216"/>
      <c r="G258" s="128"/>
      <c r="H258" s="158"/>
      <c r="I258" s="158"/>
    </row>
    <row r="259" spans="1:9" s="20" customFormat="1">
      <c r="A259" s="215"/>
      <c r="F259" s="216"/>
      <c r="G259" s="128"/>
      <c r="H259" s="158"/>
      <c r="I259" s="158"/>
    </row>
    <row r="260" spans="1:9" s="20" customFormat="1">
      <c r="A260" s="215"/>
      <c r="F260" s="216"/>
      <c r="G260" s="128"/>
      <c r="H260" s="158"/>
      <c r="I260" s="158"/>
    </row>
    <row r="261" spans="1:9" s="20" customFormat="1">
      <c r="A261" s="215"/>
      <c r="F261" s="216"/>
      <c r="G261" s="128"/>
      <c r="H261" s="158"/>
      <c r="I261" s="158"/>
    </row>
    <row r="262" spans="1:9" s="20" customFormat="1">
      <c r="A262" s="215"/>
      <c r="F262" s="216"/>
      <c r="G262" s="128"/>
      <c r="H262" s="158"/>
      <c r="I262" s="158"/>
    </row>
    <row r="263" spans="1:9" s="20" customFormat="1">
      <c r="A263" s="215"/>
      <c r="F263" s="216"/>
      <c r="G263" s="128"/>
      <c r="H263" s="158"/>
      <c r="I263" s="158"/>
    </row>
    <row r="264" spans="1:9" s="20" customFormat="1">
      <c r="A264" s="215"/>
      <c r="F264" s="216"/>
      <c r="G264" s="128"/>
      <c r="H264" s="158"/>
      <c r="I264" s="158"/>
    </row>
    <row r="265" spans="1:9" s="20" customFormat="1">
      <c r="A265" s="215"/>
      <c r="F265" s="216"/>
      <c r="G265" s="128"/>
      <c r="H265" s="158"/>
      <c r="I265" s="158"/>
    </row>
    <row r="266" spans="1:9" s="20" customFormat="1">
      <c r="A266" s="215"/>
      <c r="F266" s="216"/>
      <c r="G266" s="128"/>
      <c r="H266" s="158"/>
      <c r="I266" s="158"/>
    </row>
    <row r="267" spans="1:9" s="20" customFormat="1">
      <c r="A267" s="215"/>
      <c r="F267" s="216"/>
      <c r="G267" s="128"/>
      <c r="H267" s="158"/>
      <c r="I267" s="158"/>
    </row>
    <row r="268" spans="1:9" s="20" customFormat="1">
      <c r="A268" s="215"/>
      <c r="F268" s="216"/>
      <c r="G268" s="128"/>
      <c r="H268" s="158"/>
      <c r="I268" s="158"/>
    </row>
    <row r="269" spans="1:9" s="20" customFormat="1">
      <c r="A269" s="215"/>
      <c r="F269" s="216"/>
      <c r="G269" s="128"/>
      <c r="H269" s="158"/>
      <c r="I269" s="158"/>
    </row>
    <row r="270" spans="1:9" s="20" customFormat="1">
      <c r="A270" s="215"/>
      <c r="F270" s="216"/>
      <c r="G270" s="128"/>
      <c r="H270" s="158"/>
      <c r="I270" s="158"/>
    </row>
    <row r="271" spans="1:9" s="20" customFormat="1">
      <c r="A271" s="215"/>
      <c r="F271" s="216"/>
      <c r="G271" s="128"/>
      <c r="H271" s="158"/>
      <c r="I271" s="158"/>
    </row>
    <row r="272" spans="1:9" s="20" customFormat="1">
      <c r="A272" s="215"/>
      <c r="F272" s="216"/>
      <c r="G272" s="128"/>
      <c r="H272" s="158"/>
      <c r="I272" s="158"/>
    </row>
    <row r="273" spans="1:9" s="20" customFormat="1">
      <c r="A273" s="215"/>
      <c r="F273" s="216"/>
      <c r="G273" s="128"/>
      <c r="H273" s="158"/>
      <c r="I273" s="158"/>
    </row>
    <row r="274" spans="1:9" s="20" customFormat="1">
      <c r="A274" s="215"/>
      <c r="F274" s="216"/>
      <c r="G274" s="128"/>
      <c r="H274" s="158"/>
      <c r="I274" s="158"/>
    </row>
    <row r="275" spans="1:9" s="20" customFormat="1">
      <c r="A275" s="215"/>
      <c r="F275" s="216"/>
      <c r="G275" s="128"/>
      <c r="H275" s="158"/>
      <c r="I275" s="158"/>
    </row>
    <row r="276" spans="1:9" s="20" customFormat="1">
      <c r="A276" s="215"/>
      <c r="F276" s="216"/>
      <c r="G276" s="128"/>
      <c r="H276" s="158"/>
      <c r="I276" s="158"/>
    </row>
    <row r="277" spans="1:9" s="20" customFormat="1">
      <c r="A277" s="215"/>
      <c r="F277" s="216"/>
      <c r="G277" s="128"/>
      <c r="H277" s="158"/>
      <c r="I277" s="158"/>
    </row>
    <row r="278" spans="1:9" s="20" customFormat="1">
      <c r="A278" s="215"/>
      <c r="F278" s="216"/>
      <c r="G278" s="128"/>
      <c r="H278" s="158"/>
      <c r="I278" s="158"/>
    </row>
    <row r="279" spans="1:9" s="20" customFormat="1">
      <c r="A279" s="215"/>
      <c r="F279" s="216"/>
      <c r="G279" s="128"/>
      <c r="H279" s="158"/>
      <c r="I279" s="158"/>
    </row>
    <row r="280" spans="1:9" s="20" customFormat="1">
      <c r="A280" s="215"/>
      <c r="F280" s="216"/>
      <c r="G280" s="128"/>
      <c r="H280" s="158"/>
      <c r="I280" s="158"/>
    </row>
    <row r="281" spans="1:9" s="20" customFormat="1">
      <c r="A281" s="215"/>
      <c r="F281" s="216"/>
      <c r="G281" s="128"/>
      <c r="H281" s="158"/>
      <c r="I281" s="158"/>
    </row>
    <row r="282" spans="1:9" s="20" customFormat="1">
      <c r="A282" s="215"/>
      <c r="F282" s="216"/>
      <c r="G282" s="128"/>
      <c r="H282" s="158"/>
      <c r="I282" s="158"/>
    </row>
    <row r="283" spans="1:9" s="20" customFormat="1">
      <c r="A283" s="215"/>
      <c r="F283" s="216"/>
      <c r="G283" s="128"/>
      <c r="H283" s="158"/>
      <c r="I283" s="158"/>
    </row>
    <row r="284" spans="1:9" s="20" customFormat="1">
      <c r="A284" s="215"/>
      <c r="F284" s="216"/>
      <c r="G284" s="128"/>
      <c r="H284" s="158"/>
      <c r="I284" s="158"/>
    </row>
    <row r="285" spans="1:9" s="20" customFormat="1">
      <c r="A285" s="215"/>
      <c r="F285" s="216"/>
      <c r="G285" s="128"/>
      <c r="H285" s="158"/>
      <c r="I285" s="158"/>
    </row>
    <row r="286" spans="1:9" s="20" customFormat="1">
      <c r="A286" s="215"/>
      <c r="F286" s="216"/>
      <c r="G286" s="128"/>
      <c r="H286" s="158"/>
      <c r="I286" s="158"/>
    </row>
    <row r="287" spans="1:9" s="20" customFormat="1">
      <c r="A287" s="215"/>
      <c r="F287" s="216"/>
      <c r="G287" s="128"/>
      <c r="H287" s="158"/>
      <c r="I287" s="158"/>
    </row>
    <row r="288" spans="1:9" s="20" customFormat="1">
      <c r="A288" s="215"/>
      <c r="F288" s="216"/>
      <c r="G288" s="128"/>
      <c r="H288" s="158"/>
      <c r="I288" s="158"/>
    </row>
    <row r="289" spans="1:9" s="20" customFormat="1">
      <c r="A289" s="215"/>
      <c r="F289" s="216"/>
      <c r="G289" s="128"/>
      <c r="H289" s="158"/>
      <c r="I289" s="158"/>
    </row>
    <row r="290" spans="1:9" s="20" customFormat="1">
      <c r="A290" s="215"/>
      <c r="F290" s="216"/>
      <c r="G290" s="128"/>
      <c r="H290" s="158"/>
      <c r="I290" s="158"/>
    </row>
    <row r="291" spans="1:9" s="20" customFormat="1">
      <c r="A291" s="215"/>
      <c r="F291" s="216"/>
      <c r="G291" s="128"/>
      <c r="H291" s="158"/>
      <c r="I291" s="158"/>
    </row>
    <row r="292" spans="1:9" s="20" customFormat="1">
      <c r="A292" s="215"/>
      <c r="F292" s="216"/>
      <c r="G292" s="128"/>
      <c r="H292" s="158"/>
      <c r="I292" s="158"/>
    </row>
    <row r="293" spans="1:9" s="20" customFormat="1">
      <c r="A293" s="215"/>
      <c r="F293" s="216"/>
      <c r="G293" s="128"/>
      <c r="H293" s="158"/>
      <c r="I293" s="158"/>
    </row>
    <row r="294" spans="1:9" s="20" customFormat="1">
      <c r="A294" s="215"/>
      <c r="F294" s="216"/>
      <c r="G294" s="128"/>
      <c r="H294" s="158"/>
      <c r="I294" s="158"/>
    </row>
    <row r="295" spans="1:9" s="20" customFormat="1">
      <c r="A295" s="215"/>
      <c r="F295" s="216"/>
      <c r="G295" s="128"/>
      <c r="H295" s="158"/>
      <c r="I295" s="158"/>
    </row>
    <row r="296" spans="1:9" s="20" customFormat="1">
      <c r="A296" s="215"/>
      <c r="F296" s="216"/>
      <c r="G296" s="128"/>
      <c r="H296" s="158"/>
      <c r="I296" s="158"/>
    </row>
    <row r="297" spans="1:9" s="20" customFormat="1">
      <c r="A297" s="215"/>
      <c r="F297" s="216"/>
      <c r="G297" s="128"/>
      <c r="H297" s="158"/>
      <c r="I297" s="158"/>
    </row>
    <row r="298" spans="1:9" s="20" customFormat="1">
      <c r="A298" s="215"/>
      <c r="F298" s="216"/>
      <c r="G298" s="128"/>
      <c r="H298" s="158"/>
      <c r="I298" s="158"/>
    </row>
    <row r="299" spans="1:9" s="20" customFormat="1">
      <c r="A299" s="215"/>
      <c r="F299" s="216"/>
      <c r="G299" s="128"/>
      <c r="H299" s="158"/>
      <c r="I299" s="158"/>
    </row>
    <row r="300" spans="1:9" s="20" customFormat="1">
      <c r="A300" s="215"/>
      <c r="F300" s="216"/>
      <c r="G300" s="128"/>
      <c r="H300" s="158"/>
      <c r="I300" s="158"/>
    </row>
    <row r="301" spans="1:9" s="20" customFormat="1">
      <c r="A301" s="215"/>
      <c r="F301" s="216"/>
      <c r="G301" s="128"/>
      <c r="H301" s="158"/>
      <c r="I301" s="158"/>
    </row>
    <row r="302" spans="1:9" s="20" customFormat="1">
      <c r="A302" s="215"/>
      <c r="F302" s="216"/>
      <c r="G302" s="128"/>
      <c r="H302" s="158"/>
      <c r="I302" s="158"/>
    </row>
    <row r="303" spans="1:9" s="20" customFormat="1">
      <c r="A303" s="215"/>
      <c r="F303" s="216"/>
      <c r="G303" s="128"/>
      <c r="H303" s="158"/>
      <c r="I303" s="158"/>
    </row>
    <row r="304" spans="1:9" s="20" customFormat="1">
      <c r="A304" s="215"/>
      <c r="F304" s="216"/>
      <c r="G304" s="128"/>
      <c r="H304" s="158"/>
      <c r="I304" s="158"/>
    </row>
    <row r="305" spans="1:9" s="20" customFormat="1">
      <c r="A305" s="215"/>
      <c r="F305" s="216"/>
      <c r="G305" s="128"/>
      <c r="H305" s="158"/>
      <c r="I305" s="158"/>
    </row>
    <row r="306" spans="1:9" s="20" customFormat="1">
      <c r="A306" s="215"/>
      <c r="F306" s="216"/>
      <c r="G306" s="128"/>
      <c r="H306" s="158"/>
      <c r="I306" s="158"/>
    </row>
    <row r="307" spans="1:9" s="20" customFormat="1">
      <c r="A307" s="215"/>
      <c r="F307" s="216"/>
      <c r="G307" s="128"/>
      <c r="H307" s="158"/>
      <c r="I307" s="158"/>
    </row>
    <row r="308" spans="1:9" s="20" customFormat="1">
      <c r="A308" s="215"/>
      <c r="F308" s="216"/>
      <c r="G308" s="128"/>
      <c r="H308" s="158"/>
      <c r="I308" s="158"/>
    </row>
    <row r="309" spans="1:9" s="20" customFormat="1">
      <c r="A309" s="215"/>
      <c r="F309" s="216"/>
      <c r="G309" s="128"/>
      <c r="H309" s="158"/>
      <c r="I309" s="158"/>
    </row>
    <row r="310" spans="1:9" s="20" customFormat="1">
      <c r="A310" s="215"/>
      <c r="F310" s="216"/>
      <c r="G310" s="128"/>
      <c r="H310" s="158"/>
      <c r="I310" s="158"/>
    </row>
    <row r="311" spans="1:9" s="20" customFormat="1">
      <c r="A311" s="215"/>
      <c r="F311" s="216"/>
      <c r="G311" s="128"/>
      <c r="H311" s="158"/>
      <c r="I311" s="158"/>
    </row>
    <row r="312" spans="1:9" s="20" customFormat="1">
      <c r="A312" s="215"/>
      <c r="F312" s="216"/>
      <c r="G312" s="128"/>
      <c r="H312" s="158"/>
      <c r="I312" s="158"/>
    </row>
    <row r="313" spans="1:9" s="20" customFormat="1">
      <c r="A313" s="215"/>
      <c r="F313" s="216"/>
      <c r="G313" s="128"/>
      <c r="H313" s="158"/>
      <c r="I313" s="158"/>
    </row>
    <row r="314" spans="1:9" s="20" customFormat="1">
      <c r="A314" s="215"/>
      <c r="F314" s="216"/>
      <c r="G314" s="128"/>
      <c r="H314" s="158"/>
      <c r="I314" s="158"/>
    </row>
    <row r="315" spans="1:9" s="20" customFormat="1">
      <c r="A315" s="215"/>
      <c r="F315" s="216"/>
      <c r="G315" s="128"/>
      <c r="H315" s="158"/>
      <c r="I315" s="158"/>
    </row>
    <row r="316" spans="1:9" s="20" customFormat="1">
      <c r="A316" s="215"/>
      <c r="F316" s="216"/>
      <c r="G316" s="128"/>
      <c r="H316" s="158"/>
      <c r="I316" s="158"/>
    </row>
    <row r="317" spans="1:9" s="20" customFormat="1">
      <c r="A317" s="215"/>
      <c r="F317" s="216"/>
      <c r="G317" s="128"/>
      <c r="H317" s="158"/>
      <c r="I317" s="158"/>
    </row>
    <row r="318" spans="1:9" s="20" customFormat="1">
      <c r="A318" s="215"/>
      <c r="F318" s="216"/>
      <c r="G318" s="128"/>
      <c r="H318" s="158"/>
      <c r="I318" s="158"/>
    </row>
    <row r="319" spans="1:9" s="20" customFormat="1">
      <c r="A319" s="215"/>
      <c r="F319" s="216"/>
      <c r="G319" s="128"/>
      <c r="H319" s="158"/>
      <c r="I319" s="158"/>
    </row>
    <row r="320" spans="1:9" s="20" customFormat="1">
      <c r="A320" s="215"/>
      <c r="F320" s="216"/>
      <c r="G320" s="128"/>
      <c r="H320" s="158"/>
      <c r="I320" s="158"/>
    </row>
    <row r="321" spans="1:9" s="20" customFormat="1">
      <c r="A321" s="215"/>
      <c r="F321" s="216"/>
      <c r="G321" s="128"/>
      <c r="H321" s="158"/>
      <c r="I321" s="158"/>
    </row>
    <row r="322" spans="1:9" s="20" customFormat="1">
      <c r="A322" s="215"/>
      <c r="F322" s="216"/>
      <c r="G322" s="128"/>
      <c r="H322" s="158"/>
      <c r="I322" s="158"/>
    </row>
    <row r="323" spans="1:9" s="20" customFormat="1">
      <c r="A323" s="215"/>
      <c r="F323" s="216"/>
      <c r="G323" s="128"/>
      <c r="H323" s="158"/>
      <c r="I323" s="158"/>
    </row>
    <row r="324" spans="1:9" s="20" customFormat="1">
      <c r="A324" s="215"/>
      <c r="F324" s="216"/>
      <c r="G324" s="128"/>
      <c r="H324" s="158"/>
      <c r="I324" s="158"/>
    </row>
    <row r="325" spans="1:9" s="20" customFormat="1">
      <c r="A325" s="215"/>
      <c r="F325" s="216"/>
      <c r="G325" s="128"/>
      <c r="H325" s="158"/>
      <c r="I325" s="158"/>
    </row>
    <row r="326" spans="1:9" s="20" customFormat="1">
      <c r="A326" s="215"/>
      <c r="F326" s="216"/>
      <c r="G326" s="128"/>
      <c r="H326" s="158"/>
      <c r="I326" s="158"/>
    </row>
    <row r="327" spans="1:9" s="20" customFormat="1">
      <c r="A327" s="215"/>
      <c r="F327" s="216"/>
      <c r="G327" s="128"/>
      <c r="H327" s="158"/>
      <c r="I327" s="158"/>
    </row>
    <row r="328" spans="1:9" s="20" customFormat="1">
      <c r="A328" s="215"/>
      <c r="F328" s="216"/>
      <c r="G328" s="128"/>
      <c r="H328" s="158"/>
      <c r="I328" s="158"/>
    </row>
    <row r="329" spans="1:9" s="20" customFormat="1">
      <c r="A329" s="215"/>
      <c r="F329" s="216"/>
      <c r="G329" s="128"/>
      <c r="H329" s="158"/>
      <c r="I329" s="158"/>
    </row>
    <row r="330" spans="1:9" s="20" customFormat="1">
      <c r="A330" s="215"/>
      <c r="F330" s="216"/>
      <c r="G330" s="128"/>
      <c r="H330" s="158"/>
      <c r="I330" s="158"/>
    </row>
    <row r="331" spans="1:9" s="20" customFormat="1">
      <c r="A331" s="215"/>
      <c r="F331" s="216"/>
      <c r="G331" s="128"/>
      <c r="H331" s="158"/>
      <c r="I331" s="158"/>
    </row>
    <row r="332" spans="1:9" s="20" customFormat="1">
      <c r="A332" s="215"/>
      <c r="F332" s="216"/>
      <c r="G332" s="128"/>
      <c r="H332" s="158"/>
      <c r="I332" s="158"/>
    </row>
    <row r="333" spans="1:9" s="20" customFormat="1">
      <c r="A333" s="215"/>
      <c r="F333" s="216"/>
      <c r="G333" s="128"/>
      <c r="H333" s="158"/>
      <c r="I333" s="158"/>
    </row>
    <row r="334" spans="1:9" s="20" customFormat="1">
      <c r="A334" s="215"/>
      <c r="F334" s="216"/>
      <c r="G334" s="128"/>
      <c r="H334" s="158"/>
      <c r="I334" s="158"/>
    </row>
    <row r="335" spans="1:9" s="20" customFormat="1">
      <c r="A335" s="215"/>
      <c r="F335" s="216"/>
      <c r="G335" s="128"/>
      <c r="H335" s="158"/>
      <c r="I335" s="158"/>
    </row>
    <row r="336" spans="1:9" s="20" customFormat="1">
      <c r="A336" s="215"/>
      <c r="F336" s="216"/>
      <c r="G336" s="128"/>
      <c r="H336" s="158"/>
      <c r="I336" s="158"/>
    </row>
    <row r="337" spans="1:9" s="20" customFormat="1">
      <c r="A337" s="215"/>
      <c r="F337" s="216"/>
      <c r="G337" s="128"/>
      <c r="H337" s="158"/>
      <c r="I337" s="158"/>
    </row>
    <row r="338" spans="1:9" s="20" customFormat="1">
      <c r="A338" s="215"/>
      <c r="F338" s="216"/>
      <c r="G338" s="128"/>
      <c r="H338" s="158"/>
      <c r="I338" s="158"/>
    </row>
    <row r="339" spans="1:9" s="20" customFormat="1">
      <c r="A339" s="215"/>
      <c r="F339" s="216"/>
      <c r="G339" s="128"/>
      <c r="H339" s="158"/>
      <c r="I339" s="158"/>
    </row>
    <row r="340" spans="1:9" s="20" customFormat="1">
      <c r="A340" s="215"/>
      <c r="F340" s="216"/>
      <c r="G340" s="128"/>
      <c r="H340" s="158"/>
      <c r="I340" s="158"/>
    </row>
    <row r="341" spans="1:9" s="20" customFormat="1">
      <c r="A341" s="215"/>
      <c r="F341" s="216"/>
      <c r="G341" s="128"/>
      <c r="H341" s="158"/>
      <c r="I341" s="158"/>
    </row>
    <row r="342" spans="1:9" s="20" customFormat="1">
      <c r="A342" s="215"/>
      <c r="F342" s="216"/>
      <c r="G342" s="128"/>
      <c r="H342" s="158"/>
      <c r="I342" s="158"/>
    </row>
    <row r="343" spans="1:9" s="20" customFormat="1">
      <c r="A343" s="215"/>
      <c r="F343" s="216"/>
      <c r="G343" s="128"/>
      <c r="H343" s="158"/>
      <c r="I343" s="158"/>
    </row>
    <row r="344" spans="1:9" s="20" customFormat="1">
      <c r="A344" s="215"/>
      <c r="F344" s="216"/>
      <c r="G344" s="128"/>
      <c r="H344" s="158"/>
      <c r="I344" s="158"/>
    </row>
    <row r="345" spans="1:9" s="20" customFormat="1">
      <c r="A345" s="215"/>
      <c r="F345" s="216"/>
      <c r="G345" s="128"/>
      <c r="H345" s="158"/>
      <c r="I345" s="158"/>
    </row>
    <row r="346" spans="1:9" s="20" customFormat="1">
      <c r="A346" s="215"/>
      <c r="F346" s="216"/>
      <c r="G346" s="128"/>
      <c r="H346" s="158"/>
      <c r="I346" s="158"/>
    </row>
    <row r="347" spans="1:9" s="20" customFormat="1">
      <c r="A347" s="215"/>
      <c r="F347" s="216"/>
      <c r="G347" s="128"/>
      <c r="H347" s="158"/>
      <c r="I347" s="158"/>
    </row>
    <row r="348" spans="1:9" s="20" customFormat="1">
      <c r="A348" s="215"/>
      <c r="F348" s="216"/>
      <c r="G348" s="128"/>
      <c r="H348" s="158"/>
      <c r="I348" s="158"/>
    </row>
    <row r="349" spans="1:9" s="20" customFormat="1">
      <c r="A349" s="215"/>
      <c r="F349" s="216"/>
      <c r="G349" s="128"/>
      <c r="H349" s="158"/>
      <c r="I349" s="158"/>
    </row>
    <row r="350" spans="1:9" s="20" customFormat="1">
      <c r="A350" s="215"/>
      <c r="F350" s="216"/>
      <c r="G350" s="128"/>
      <c r="H350" s="158"/>
      <c r="I350" s="158"/>
    </row>
    <row r="351" spans="1:9" s="20" customFormat="1">
      <c r="A351" s="215"/>
      <c r="F351" s="216"/>
      <c r="G351" s="128"/>
      <c r="H351" s="158"/>
      <c r="I351" s="158"/>
    </row>
    <row r="352" spans="1:9" s="20" customFormat="1">
      <c r="A352" s="215"/>
      <c r="F352" s="216"/>
      <c r="G352" s="128"/>
      <c r="H352" s="158"/>
      <c r="I352" s="158"/>
    </row>
    <row r="353" spans="1:9" s="20" customFormat="1">
      <c r="A353" s="215"/>
      <c r="F353" s="216"/>
      <c r="G353" s="128"/>
      <c r="H353" s="158"/>
      <c r="I353" s="158"/>
    </row>
    <row r="354" spans="1:9" s="20" customFormat="1">
      <c r="A354" s="215"/>
      <c r="F354" s="216"/>
      <c r="G354" s="128"/>
      <c r="H354" s="158"/>
      <c r="I354" s="158"/>
    </row>
    <row r="355" spans="1:9" s="20" customFormat="1">
      <c r="A355" s="215"/>
      <c r="F355" s="216"/>
      <c r="G355" s="128"/>
      <c r="H355" s="158"/>
      <c r="I355" s="158"/>
    </row>
    <row r="356" spans="1:9" s="20" customFormat="1">
      <c r="A356" s="215"/>
      <c r="F356" s="216"/>
      <c r="G356" s="128"/>
      <c r="H356" s="158"/>
      <c r="I356" s="158"/>
    </row>
    <row r="357" spans="1:9" s="20" customFormat="1">
      <c r="A357" s="215"/>
      <c r="F357" s="216"/>
      <c r="G357" s="128"/>
      <c r="H357" s="158"/>
      <c r="I357" s="158"/>
    </row>
    <row r="358" spans="1:9" s="20" customFormat="1">
      <c r="A358" s="215"/>
      <c r="F358" s="216"/>
      <c r="G358" s="128"/>
      <c r="H358" s="158"/>
      <c r="I358" s="158"/>
    </row>
    <row r="359" spans="1:9" s="20" customFormat="1">
      <c r="A359" s="215"/>
      <c r="F359" s="216"/>
      <c r="G359" s="128"/>
      <c r="H359" s="158"/>
      <c r="I359" s="158"/>
    </row>
    <row r="360" spans="1:9" s="20" customFormat="1">
      <c r="A360" s="215"/>
      <c r="F360" s="216"/>
      <c r="G360" s="128"/>
      <c r="H360" s="158"/>
      <c r="I360" s="158"/>
    </row>
    <row r="361" spans="1:9" s="20" customFormat="1">
      <c r="A361" s="215"/>
      <c r="F361" s="216"/>
      <c r="G361" s="128"/>
      <c r="H361" s="158"/>
      <c r="I361" s="158"/>
    </row>
    <row r="362" spans="1:9" s="20" customFormat="1">
      <c r="A362" s="215"/>
      <c r="F362" s="216"/>
      <c r="G362" s="128"/>
      <c r="H362" s="158"/>
      <c r="I362" s="158"/>
    </row>
    <row r="363" spans="1:9" s="20" customFormat="1">
      <c r="A363" s="215"/>
      <c r="F363" s="216"/>
      <c r="G363" s="128"/>
      <c r="H363" s="158"/>
      <c r="I363" s="158"/>
    </row>
    <row r="364" spans="1:9" s="20" customFormat="1">
      <c r="A364" s="215"/>
      <c r="F364" s="216"/>
      <c r="G364" s="128"/>
      <c r="H364" s="158"/>
      <c r="I364" s="158"/>
    </row>
    <row r="365" spans="1:9" s="20" customFormat="1">
      <c r="A365" s="215"/>
      <c r="F365" s="216"/>
      <c r="G365" s="128"/>
      <c r="H365" s="158"/>
      <c r="I365" s="158"/>
    </row>
    <row r="366" spans="1:9" s="20" customFormat="1">
      <c r="A366" s="215"/>
      <c r="F366" s="216"/>
      <c r="G366" s="128"/>
      <c r="H366" s="158"/>
      <c r="I366" s="158"/>
    </row>
    <row r="367" spans="1:9" s="20" customFormat="1">
      <c r="A367" s="215"/>
      <c r="F367" s="216"/>
      <c r="G367" s="128"/>
      <c r="H367" s="158"/>
      <c r="I367" s="158"/>
    </row>
    <row r="368" spans="1:9" s="20" customFormat="1">
      <c r="A368" s="215"/>
      <c r="F368" s="216"/>
      <c r="G368" s="128"/>
      <c r="H368" s="158"/>
      <c r="I368" s="158"/>
    </row>
    <row r="369" spans="1:9" s="20" customFormat="1">
      <c r="A369" s="215"/>
      <c r="F369" s="216"/>
      <c r="G369" s="128"/>
      <c r="H369" s="158"/>
      <c r="I369" s="158"/>
    </row>
    <row r="370" spans="1:9" s="20" customFormat="1">
      <c r="A370" s="215"/>
      <c r="F370" s="216"/>
      <c r="G370" s="128"/>
      <c r="H370" s="158"/>
      <c r="I370" s="158"/>
    </row>
    <row r="371" spans="1:9" s="20" customFormat="1">
      <c r="A371" s="215"/>
      <c r="F371" s="216"/>
      <c r="G371" s="128"/>
      <c r="H371" s="158"/>
      <c r="I371" s="158"/>
    </row>
    <row r="372" spans="1:9" s="20" customFormat="1">
      <c r="A372" s="215"/>
      <c r="F372" s="216"/>
      <c r="G372" s="128"/>
      <c r="H372" s="158"/>
      <c r="I372" s="158"/>
    </row>
    <row r="373" spans="1:9" s="20" customFormat="1">
      <c r="A373" s="215"/>
      <c r="F373" s="216"/>
      <c r="G373" s="128"/>
      <c r="H373" s="158"/>
      <c r="I373" s="158"/>
    </row>
    <row r="374" spans="1:9" s="20" customFormat="1">
      <c r="A374" s="215"/>
      <c r="F374" s="216"/>
      <c r="G374" s="128"/>
      <c r="H374" s="158"/>
      <c r="I374" s="158"/>
    </row>
    <row r="375" spans="1:9" s="20" customFormat="1">
      <c r="A375" s="215"/>
      <c r="F375" s="216"/>
      <c r="G375" s="128"/>
      <c r="H375" s="158"/>
      <c r="I375" s="158"/>
    </row>
    <row r="376" spans="1:9" s="20" customFormat="1">
      <c r="A376" s="215"/>
      <c r="F376" s="216"/>
      <c r="G376" s="128"/>
      <c r="H376" s="158"/>
      <c r="I376" s="158"/>
    </row>
    <row r="377" spans="1:9" s="20" customFormat="1">
      <c r="A377" s="215"/>
      <c r="F377" s="216"/>
      <c r="G377" s="128"/>
      <c r="H377" s="158"/>
      <c r="I377" s="158"/>
    </row>
    <row r="378" spans="1:9" s="20" customFormat="1">
      <c r="A378" s="215"/>
      <c r="F378" s="216"/>
      <c r="G378" s="128"/>
      <c r="H378" s="158"/>
      <c r="I378" s="158"/>
    </row>
    <row r="379" spans="1:9" s="20" customFormat="1">
      <c r="A379" s="215"/>
      <c r="F379" s="216"/>
      <c r="G379" s="128"/>
      <c r="H379" s="158"/>
      <c r="I379" s="158"/>
    </row>
    <row r="380" spans="1:9" s="20" customFormat="1">
      <c r="A380" s="215"/>
      <c r="F380" s="216"/>
      <c r="G380" s="128"/>
      <c r="H380" s="158"/>
      <c r="I380" s="158"/>
    </row>
    <row r="381" spans="1:9" s="20" customFormat="1">
      <c r="A381" s="215"/>
      <c r="F381" s="216"/>
      <c r="G381" s="128"/>
      <c r="H381" s="158"/>
      <c r="I381" s="158"/>
    </row>
    <row r="382" spans="1:9" s="20" customFormat="1">
      <c r="A382" s="215"/>
      <c r="F382" s="216"/>
      <c r="G382" s="128"/>
      <c r="H382" s="158"/>
      <c r="I382" s="158"/>
    </row>
    <row r="383" spans="1:9" s="20" customFormat="1">
      <c r="A383" s="215"/>
      <c r="F383" s="216"/>
      <c r="G383" s="128"/>
      <c r="H383" s="158"/>
      <c r="I383" s="158"/>
    </row>
    <row r="384" spans="1:9" s="20" customFormat="1">
      <c r="A384" s="215"/>
      <c r="F384" s="216"/>
      <c r="G384" s="128"/>
      <c r="H384" s="158"/>
      <c r="I384" s="158"/>
    </row>
    <row r="385" spans="1:9" s="20" customFormat="1">
      <c r="A385" s="215"/>
      <c r="F385" s="216"/>
      <c r="G385" s="128"/>
      <c r="H385" s="158"/>
      <c r="I385" s="158"/>
    </row>
    <row r="386" spans="1:9" s="20" customFormat="1">
      <c r="A386" s="215"/>
      <c r="F386" s="216"/>
      <c r="G386" s="128"/>
      <c r="H386" s="158"/>
      <c r="I386" s="158"/>
    </row>
    <row r="387" spans="1:9" s="20" customFormat="1">
      <c r="A387" s="215"/>
      <c r="F387" s="216"/>
      <c r="G387" s="128"/>
      <c r="H387" s="158"/>
      <c r="I387" s="158"/>
    </row>
    <row r="388" spans="1:9" s="20" customFormat="1">
      <c r="A388" s="215"/>
      <c r="F388" s="216"/>
      <c r="G388" s="128"/>
      <c r="H388" s="158"/>
      <c r="I388" s="158"/>
    </row>
    <row r="389" spans="1:9" s="20" customFormat="1">
      <c r="A389" s="215"/>
      <c r="F389" s="216"/>
      <c r="G389" s="128"/>
      <c r="H389" s="158"/>
      <c r="I389" s="158"/>
    </row>
    <row r="390" spans="1:9" s="20" customFormat="1">
      <c r="A390" s="215"/>
      <c r="F390" s="216"/>
      <c r="G390" s="128"/>
      <c r="H390" s="158"/>
      <c r="I390" s="158"/>
    </row>
    <row r="391" spans="1:9" s="20" customFormat="1">
      <c r="A391" s="215"/>
      <c r="F391" s="216"/>
      <c r="G391" s="128"/>
      <c r="H391" s="158"/>
      <c r="I391" s="158"/>
    </row>
    <row r="392" spans="1:9" s="20" customFormat="1">
      <c r="A392" s="215"/>
      <c r="F392" s="216"/>
      <c r="G392" s="128"/>
      <c r="H392" s="158"/>
      <c r="I392" s="158"/>
    </row>
    <row r="393" spans="1:9" s="20" customFormat="1">
      <c r="A393" s="215"/>
      <c r="F393" s="216"/>
      <c r="G393" s="128"/>
      <c r="H393" s="158"/>
      <c r="I393" s="158"/>
    </row>
    <row r="394" spans="1:9" s="20" customFormat="1">
      <c r="A394" s="215"/>
      <c r="F394" s="216"/>
      <c r="G394" s="128"/>
      <c r="H394" s="158"/>
      <c r="I394" s="158"/>
    </row>
    <row r="395" spans="1:9" s="20" customFormat="1">
      <c r="A395" s="215"/>
      <c r="F395" s="216"/>
      <c r="G395" s="128"/>
      <c r="H395" s="158"/>
      <c r="I395" s="158"/>
    </row>
    <row r="396" spans="1:9" s="20" customFormat="1">
      <c r="A396" s="215"/>
      <c r="F396" s="216"/>
      <c r="G396" s="128"/>
      <c r="H396" s="158"/>
      <c r="I396" s="158"/>
    </row>
    <row r="397" spans="1:9" s="20" customFormat="1">
      <c r="A397" s="215"/>
      <c r="F397" s="216"/>
      <c r="G397" s="128"/>
      <c r="H397" s="158"/>
      <c r="I397" s="158"/>
    </row>
    <row r="398" spans="1:9" s="20" customFormat="1">
      <c r="A398" s="215"/>
      <c r="F398" s="216"/>
      <c r="G398" s="128"/>
      <c r="H398" s="158"/>
      <c r="I398" s="158"/>
    </row>
    <row r="399" spans="1:9" s="20" customFormat="1">
      <c r="A399" s="215"/>
      <c r="F399" s="216"/>
      <c r="G399" s="128"/>
      <c r="H399" s="158"/>
      <c r="I399" s="158"/>
    </row>
    <row r="400" spans="1:9" s="20" customFormat="1">
      <c r="A400" s="215"/>
      <c r="F400" s="216"/>
      <c r="G400" s="128"/>
      <c r="H400" s="158"/>
      <c r="I400" s="158"/>
    </row>
    <row r="401" spans="1:9" s="20" customFormat="1">
      <c r="A401" s="215"/>
      <c r="F401" s="216"/>
      <c r="G401" s="128"/>
      <c r="H401" s="158"/>
      <c r="I401" s="158"/>
    </row>
    <row r="402" spans="1:9" s="20" customFormat="1">
      <c r="A402" s="215"/>
      <c r="F402" s="216"/>
      <c r="G402" s="128"/>
      <c r="H402" s="158"/>
      <c r="I402" s="158"/>
    </row>
    <row r="403" spans="1:9" s="20" customFormat="1">
      <c r="A403" s="215"/>
      <c r="F403" s="216"/>
      <c r="G403" s="128"/>
      <c r="H403" s="158"/>
      <c r="I403" s="158"/>
    </row>
    <row r="404" spans="1:9" s="20" customFormat="1">
      <c r="A404" s="215"/>
      <c r="F404" s="216"/>
      <c r="G404" s="128"/>
      <c r="H404" s="158"/>
      <c r="I404" s="158"/>
    </row>
    <row r="405" spans="1:9" s="20" customFormat="1">
      <c r="A405" s="215"/>
      <c r="F405" s="216"/>
      <c r="G405" s="128"/>
      <c r="H405" s="158"/>
      <c r="I405" s="158"/>
    </row>
    <row r="406" spans="1:9" s="20" customFormat="1">
      <c r="A406" s="215"/>
      <c r="F406" s="216"/>
      <c r="G406" s="128"/>
      <c r="H406" s="158"/>
      <c r="I406" s="158"/>
    </row>
    <row r="407" spans="1:9" s="20" customFormat="1">
      <c r="A407" s="215"/>
      <c r="F407" s="216"/>
      <c r="G407" s="128"/>
      <c r="H407" s="158"/>
      <c r="I407" s="158"/>
    </row>
    <row r="408" spans="1:9" s="20" customFormat="1">
      <c r="A408" s="215"/>
      <c r="F408" s="216"/>
      <c r="G408" s="128"/>
      <c r="H408" s="158"/>
      <c r="I408" s="158"/>
    </row>
    <row r="409" spans="1:9" s="20" customFormat="1">
      <c r="A409" s="215"/>
      <c r="F409" s="216"/>
      <c r="G409" s="128"/>
      <c r="H409" s="158"/>
      <c r="I409" s="158"/>
    </row>
    <row r="410" spans="1:9" s="20" customFormat="1">
      <c r="A410" s="215"/>
      <c r="F410" s="216"/>
      <c r="G410" s="128"/>
      <c r="H410" s="158"/>
      <c r="I410" s="158"/>
    </row>
    <row r="411" spans="1:9" s="20" customFormat="1">
      <c r="A411" s="215"/>
      <c r="F411" s="216"/>
      <c r="G411" s="128"/>
      <c r="H411" s="158"/>
      <c r="I411" s="158"/>
    </row>
    <row r="412" spans="1:9" s="20" customFormat="1">
      <c r="A412" s="215"/>
      <c r="F412" s="216"/>
      <c r="G412" s="128"/>
      <c r="H412" s="158"/>
      <c r="I412" s="158"/>
    </row>
    <row r="413" spans="1:9" s="20" customFormat="1">
      <c r="A413" s="215"/>
      <c r="F413" s="216"/>
      <c r="G413" s="128"/>
      <c r="H413" s="158"/>
      <c r="I413" s="158"/>
    </row>
    <row r="414" spans="1:9" s="20" customFormat="1">
      <c r="A414" s="215"/>
      <c r="F414" s="216"/>
      <c r="G414" s="128"/>
      <c r="H414" s="158"/>
      <c r="I414" s="158"/>
    </row>
    <row r="415" spans="1:9" s="20" customFormat="1">
      <c r="A415" s="215"/>
      <c r="F415" s="216"/>
      <c r="G415" s="128"/>
      <c r="H415" s="158"/>
      <c r="I415" s="158"/>
    </row>
    <row r="416" spans="1:9" s="20" customFormat="1">
      <c r="A416" s="215"/>
      <c r="F416" s="216"/>
      <c r="G416" s="128"/>
      <c r="H416" s="158"/>
      <c r="I416" s="158"/>
    </row>
    <row r="417" spans="1:9" s="20" customFormat="1">
      <c r="A417" s="215"/>
      <c r="F417" s="216"/>
      <c r="G417" s="128"/>
      <c r="H417" s="158"/>
      <c r="I417" s="158"/>
    </row>
    <row r="418" spans="1:9" s="20" customFormat="1">
      <c r="A418" s="215"/>
      <c r="F418" s="216"/>
      <c r="G418" s="128"/>
      <c r="H418" s="158"/>
      <c r="I418" s="158"/>
    </row>
    <row r="419" spans="1:9" s="20" customFormat="1">
      <c r="A419" s="215"/>
      <c r="F419" s="216"/>
      <c r="G419" s="128"/>
      <c r="H419" s="158"/>
      <c r="I419" s="158"/>
    </row>
    <row r="420" spans="1:9" s="20" customFormat="1">
      <c r="A420" s="215"/>
      <c r="F420" s="216"/>
      <c r="G420" s="128"/>
      <c r="H420" s="158"/>
      <c r="I420" s="158"/>
    </row>
    <row r="421" spans="1:9" s="20" customFormat="1">
      <c r="A421" s="215"/>
      <c r="F421" s="216"/>
      <c r="G421" s="128"/>
      <c r="H421" s="158"/>
      <c r="I421" s="158"/>
    </row>
    <row r="422" spans="1:9" s="20" customFormat="1">
      <c r="A422" s="215"/>
      <c r="F422" s="216"/>
      <c r="G422" s="128"/>
      <c r="H422" s="158"/>
      <c r="I422" s="158"/>
    </row>
    <row r="423" spans="1:9" s="20" customFormat="1">
      <c r="A423" s="215"/>
      <c r="F423" s="216"/>
      <c r="G423" s="128"/>
      <c r="H423" s="158"/>
      <c r="I423" s="158"/>
    </row>
    <row r="424" spans="1:9" s="20" customFormat="1">
      <c r="A424" s="215"/>
      <c r="F424" s="216"/>
      <c r="G424" s="128"/>
      <c r="H424" s="158"/>
      <c r="I424" s="158"/>
    </row>
    <row r="425" spans="1:9" s="20" customFormat="1">
      <c r="A425" s="215"/>
      <c r="F425" s="216"/>
      <c r="G425" s="128"/>
      <c r="H425" s="158"/>
      <c r="I425" s="158"/>
    </row>
    <row r="426" spans="1:9" s="20" customFormat="1">
      <c r="A426" s="215"/>
      <c r="F426" s="216"/>
      <c r="G426" s="128"/>
      <c r="H426" s="158"/>
      <c r="I426" s="158"/>
    </row>
    <row r="427" spans="1:9" s="20" customFormat="1">
      <c r="A427" s="215"/>
      <c r="F427" s="216"/>
      <c r="G427" s="128"/>
      <c r="H427" s="158"/>
      <c r="I427" s="158"/>
    </row>
    <row r="428" spans="1:9" s="20" customFormat="1">
      <c r="A428" s="215"/>
      <c r="F428" s="216"/>
      <c r="G428" s="128"/>
      <c r="H428" s="158"/>
      <c r="I428" s="158"/>
    </row>
    <row r="429" spans="1:9" s="20" customFormat="1">
      <c r="A429" s="215"/>
      <c r="F429" s="216"/>
      <c r="G429" s="128"/>
      <c r="H429" s="158"/>
      <c r="I429" s="158"/>
    </row>
    <row r="430" spans="1:9" s="20" customFormat="1">
      <c r="A430" s="215"/>
      <c r="F430" s="216"/>
      <c r="G430" s="128"/>
      <c r="H430" s="158"/>
      <c r="I430" s="158"/>
    </row>
    <row r="431" spans="1:9" s="20" customFormat="1">
      <c r="A431" s="215"/>
      <c r="F431" s="216"/>
      <c r="G431" s="128"/>
      <c r="H431" s="158"/>
      <c r="I431" s="158"/>
    </row>
    <row r="432" spans="1:9" s="20" customFormat="1">
      <c r="A432" s="215"/>
      <c r="F432" s="216"/>
      <c r="G432" s="128"/>
      <c r="H432" s="158"/>
      <c r="I432" s="158"/>
    </row>
    <row r="433" spans="1:9" s="20" customFormat="1">
      <c r="A433" s="215"/>
      <c r="F433" s="216"/>
      <c r="G433" s="128"/>
      <c r="H433" s="158"/>
      <c r="I433" s="158"/>
    </row>
    <row r="434" spans="1:9" s="20" customFormat="1">
      <c r="A434" s="215"/>
      <c r="F434" s="216"/>
      <c r="G434" s="128"/>
      <c r="H434" s="158"/>
      <c r="I434" s="158"/>
    </row>
    <row r="435" spans="1:9" s="20" customFormat="1">
      <c r="A435" s="215"/>
      <c r="F435" s="216"/>
      <c r="G435" s="128"/>
      <c r="H435" s="158"/>
      <c r="I435" s="158"/>
    </row>
    <row r="436" spans="1:9" s="20" customFormat="1">
      <c r="A436" s="215"/>
      <c r="F436" s="216"/>
      <c r="G436" s="128"/>
      <c r="H436" s="158"/>
      <c r="I436" s="158"/>
    </row>
    <row r="437" spans="1:9" s="20" customFormat="1">
      <c r="A437" s="215"/>
      <c r="F437" s="216"/>
      <c r="G437" s="128"/>
      <c r="H437" s="158"/>
      <c r="I437" s="158"/>
    </row>
    <row r="438" spans="1:9" s="20" customFormat="1">
      <c r="A438" s="215"/>
      <c r="F438" s="216"/>
      <c r="G438" s="128"/>
      <c r="H438" s="158"/>
      <c r="I438" s="158"/>
    </row>
    <row r="439" spans="1:9" s="20" customFormat="1">
      <c r="A439" s="215"/>
      <c r="F439" s="216"/>
      <c r="G439" s="128"/>
      <c r="H439" s="158"/>
      <c r="I439" s="158"/>
    </row>
    <row r="440" spans="1:9" s="20" customFormat="1">
      <c r="A440" s="215"/>
      <c r="F440" s="216"/>
      <c r="G440" s="128"/>
      <c r="H440" s="158"/>
      <c r="I440" s="158"/>
    </row>
    <row r="441" spans="1:9" s="20" customFormat="1">
      <c r="A441" s="215"/>
      <c r="F441" s="216"/>
      <c r="G441" s="128"/>
      <c r="H441" s="158"/>
      <c r="I441" s="158"/>
    </row>
    <row r="442" spans="1:9" s="20" customFormat="1">
      <c r="A442" s="215"/>
      <c r="F442" s="216"/>
      <c r="G442" s="128"/>
      <c r="H442" s="158"/>
      <c r="I442" s="158"/>
    </row>
    <row r="443" spans="1:9" s="20" customFormat="1">
      <c r="A443" s="215"/>
      <c r="F443" s="216"/>
      <c r="G443" s="128"/>
      <c r="H443" s="158"/>
      <c r="I443" s="158"/>
    </row>
    <row r="444" spans="1:9" s="20" customFormat="1">
      <c r="A444" s="215"/>
      <c r="F444" s="216"/>
      <c r="G444" s="128"/>
      <c r="H444" s="158"/>
      <c r="I444" s="158"/>
    </row>
    <row r="445" spans="1:9" s="20" customFormat="1">
      <c r="A445" s="215"/>
      <c r="F445" s="216"/>
      <c r="G445" s="128"/>
      <c r="H445" s="158"/>
      <c r="I445" s="158"/>
    </row>
    <row r="446" spans="1:9" s="20" customFormat="1">
      <c r="A446" s="215"/>
      <c r="F446" s="216"/>
      <c r="G446" s="128"/>
      <c r="H446" s="158"/>
      <c r="I446" s="158"/>
    </row>
    <row r="447" spans="1:9" s="20" customFormat="1">
      <c r="A447" s="215"/>
      <c r="F447" s="216"/>
      <c r="G447" s="128"/>
      <c r="H447" s="158"/>
      <c r="I447" s="158"/>
    </row>
    <row r="448" spans="1:9" s="20" customFormat="1">
      <c r="A448" s="215"/>
      <c r="F448" s="216"/>
      <c r="G448" s="128"/>
      <c r="H448" s="158"/>
      <c r="I448" s="158"/>
    </row>
    <row r="449" spans="1:9" s="20" customFormat="1">
      <c r="A449" s="215"/>
      <c r="F449" s="216"/>
      <c r="G449" s="128"/>
      <c r="H449" s="158"/>
      <c r="I449" s="158"/>
    </row>
    <row r="450" spans="1:9" s="20" customFormat="1">
      <c r="A450" s="215"/>
      <c r="F450" s="216"/>
      <c r="G450" s="128"/>
      <c r="H450" s="158"/>
      <c r="I450" s="158"/>
    </row>
    <row r="451" spans="1:9" s="20" customFormat="1">
      <c r="A451" s="215"/>
      <c r="F451" s="216"/>
      <c r="G451" s="128"/>
      <c r="H451" s="158"/>
      <c r="I451" s="158"/>
    </row>
    <row r="452" spans="1:9" s="20" customFormat="1">
      <c r="A452" s="215"/>
      <c r="F452" s="216"/>
      <c r="G452" s="128"/>
      <c r="H452" s="158"/>
      <c r="I452" s="158"/>
    </row>
    <row r="453" spans="1:9" s="20" customFormat="1">
      <c r="A453" s="215"/>
      <c r="F453" s="216"/>
      <c r="G453" s="128"/>
      <c r="H453" s="158"/>
      <c r="I453" s="158"/>
    </row>
    <row r="454" spans="1:9" s="20" customFormat="1">
      <c r="A454" s="215"/>
      <c r="F454" s="216"/>
      <c r="G454" s="128"/>
      <c r="H454" s="158"/>
      <c r="I454" s="158"/>
    </row>
    <row r="455" spans="1:9" s="20" customFormat="1">
      <c r="A455" s="215"/>
      <c r="F455" s="216"/>
      <c r="G455" s="128"/>
      <c r="H455" s="158"/>
      <c r="I455" s="158"/>
    </row>
    <row r="456" spans="1:9" s="20" customFormat="1">
      <c r="A456" s="215"/>
      <c r="F456" s="216"/>
      <c r="G456" s="128"/>
      <c r="H456" s="158"/>
      <c r="I456" s="158"/>
    </row>
    <row r="457" spans="1:9" s="20" customFormat="1">
      <c r="A457" s="215"/>
      <c r="F457" s="216"/>
      <c r="G457" s="128"/>
      <c r="H457" s="158"/>
      <c r="I457" s="158"/>
    </row>
    <row r="458" spans="1:9" s="20" customFormat="1">
      <c r="A458" s="215"/>
      <c r="F458" s="216"/>
      <c r="G458" s="128"/>
      <c r="H458" s="158"/>
      <c r="I458" s="158"/>
    </row>
    <row r="459" spans="1:9" s="20" customFormat="1">
      <c r="A459" s="215"/>
      <c r="F459" s="216"/>
      <c r="G459" s="128"/>
      <c r="H459" s="158"/>
      <c r="I459" s="158"/>
    </row>
    <row r="460" spans="1:9" s="20" customFormat="1">
      <c r="A460" s="215"/>
      <c r="F460" s="216"/>
      <c r="G460" s="128"/>
      <c r="H460" s="158"/>
      <c r="I460" s="158"/>
    </row>
    <row r="461" spans="1:9" s="20" customFormat="1">
      <c r="A461" s="215"/>
      <c r="F461" s="216"/>
      <c r="G461" s="128"/>
      <c r="H461" s="158"/>
      <c r="I461" s="158"/>
    </row>
    <row r="462" spans="1:9" s="20" customFormat="1">
      <c r="A462" s="215"/>
      <c r="F462" s="216"/>
      <c r="G462" s="128"/>
      <c r="H462" s="158"/>
      <c r="I462" s="158"/>
    </row>
    <row r="463" spans="1:9" s="20" customFormat="1">
      <c r="A463" s="215"/>
      <c r="F463" s="216"/>
      <c r="G463" s="128"/>
      <c r="H463" s="158"/>
      <c r="I463" s="158"/>
    </row>
    <row r="464" spans="1:9" s="20" customFormat="1">
      <c r="A464" s="215"/>
      <c r="F464" s="216"/>
      <c r="G464" s="128"/>
      <c r="H464" s="158"/>
      <c r="I464" s="158"/>
    </row>
    <row r="465" spans="1:9" s="20" customFormat="1">
      <c r="A465" s="215"/>
      <c r="F465" s="216"/>
      <c r="G465" s="128"/>
      <c r="H465" s="158"/>
      <c r="I465" s="158"/>
    </row>
    <row r="466" spans="1:9" s="20" customFormat="1">
      <c r="A466" s="215"/>
      <c r="F466" s="216"/>
      <c r="G466" s="128"/>
      <c r="H466" s="158"/>
      <c r="I466" s="158"/>
    </row>
    <row r="467" spans="1:9" s="20" customFormat="1">
      <c r="A467" s="215"/>
      <c r="F467" s="216"/>
      <c r="G467" s="128"/>
      <c r="H467" s="158"/>
      <c r="I467" s="158"/>
    </row>
    <row r="468" spans="1:9" s="20" customFormat="1">
      <c r="A468" s="215"/>
      <c r="F468" s="216"/>
      <c r="G468" s="128"/>
      <c r="H468" s="158"/>
      <c r="I468" s="158"/>
    </row>
    <row r="469" spans="1:9" s="20" customFormat="1">
      <c r="A469" s="215"/>
      <c r="F469" s="216"/>
      <c r="G469" s="128"/>
      <c r="H469" s="158"/>
      <c r="I469" s="158"/>
    </row>
    <row r="470" spans="1:9" s="20" customFormat="1">
      <c r="A470" s="215"/>
      <c r="F470" s="216"/>
      <c r="G470" s="128"/>
      <c r="H470" s="158"/>
      <c r="I470" s="158"/>
    </row>
    <row r="471" spans="1:9" s="20" customFormat="1">
      <c r="A471" s="215"/>
      <c r="F471" s="216"/>
      <c r="G471" s="128"/>
      <c r="H471" s="158"/>
      <c r="I471" s="158"/>
    </row>
    <row r="472" spans="1:9" s="20" customFormat="1">
      <c r="A472" s="215"/>
      <c r="F472" s="216"/>
      <c r="G472" s="128"/>
      <c r="H472" s="158"/>
      <c r="I472" s="158"/>
    </row>
    <row r="473" spans="1:9" s="20" customFormat="1">
      <c r="A473" s="215"/>
      <c r="F473" s="216"/>
      <c r="G473" s="128"/>
      <c r="H473" s="158"/>
      <c r="I473" s="158"/>
    </row>
    <row r="474" spans="1:9" s="20" customFormat="1">
      <c r="A474" s="215"/>
      <c r="F474" s="216"/>
      <c r="G474" s="128"/>
      <c r="H474" s="158"/>
      <c r="I474" s="158"/>
    </row>
    <row r="475" spans="1:9" s="20" customFormat="1">
      <c r="A475" s="215"/>
      <c r="F475" s="216"/>
      <c r="G475" s="128"/>
      <c r="H475" s="158"/>
      <c r="I475" s="158"/>
    </row>
    <row r="476" spans="1:9" s="20" customFormat="1">
      <c r="A476" s="215"/>
      <c r="F476" s="216"/>
      <c r="G476" s="128"/>
      <c r="H476" s="158"/>
      <c r="I476" s="158"/>
    </row>
    <row r="477" spans="1:9" s="20" customFormat="1">
      <c r="A477" s="215"/>
      <c r="F477" s="216"/>
      <c r="G477" s="128"/>
      <c r="H477" s="158"/>
      <c r="I477" s="158"/>
    </row>
    <row r="478" spans="1:9" s="20" customFormat="1">
      <c r="A478" s="215"/>
      <c r="F478" s="216"/>
      <c r="G478" s="128"/>
      <c r="H478" s="158"/>
      <c r="I478" s="158"/>
    </row>
    <row r="479" spans="1:9" s="20" customFormat="1">
      <c r="A479" s="215"/>
      <c r="F479" s="216"/>
      <c r="G479" s="128"/>
      <c r="H479" s="158"/>
      <c r="I479" s="158"/>
    </row>
    <row r="480" spans="1:9" s="20" customFormat="1">
      <c r="A480" s="215"/>
      <c r="F480" s="216"/>
      <c r="G480" s="128"/>
      <c r="H480" s="158"/>
      <c r="I480" s="158"/>
    </row>
    <row r="481" spans="1:9" s="20" customFormat="1">
      <c r="A481" s="215"/>
      <c r="F481" s="216"/>
      <c r="G481" s="128"/>
      <c r="H481" s="158"/>
      <c r="I481" s="158"/>
    </row>
    <row r="482" spans="1:9" s="20" customFormat="1">
      <c r="A482" s="215"/>
      <c r="F482" s="216"/>
      <c r="G482" s="128"/>
      <c r="H482" s="158"/>
      <c r="I482" s="158"/>
    </row>
    <row r="483" spans="1:9" s="20" customFormat="1">
      <c r="A483" s="215"/>
      <c r="F483" s="216"/>
      <c r="G483" s="128"/>
      <c r="H483" s="158"/>
      <c r="I483" s="158"/>
    </row>
    <row r="484" spans="1:9" s="20" customFormat="1">
      <c r="A484" s="215"/>
      <c r="F484" s="216"/>
      <c r="G484" s="128"/>
      <c r="H484" s="158"/>
      <c r="I484" s="158"/>
    </row>
    <row r="485" spans="1:9" s="20" customFormat="1">
      <c r="A485" s="215"/>
      <c r="F485" s="216"/>
      <c r="G485" s="128"/>
      <c r="H485" s="158"/>
      <c r="I485" s="158"/>
    </row>
    <row r="486" spans="1:9" s="20" customFormat="1">
      <c r="A486" s="215"/>
      <c r="F486" s="216"/>
      <c r="G486" s="128"/>
      <c r="H486" s="158"/>
      <c r="I486" s="158"/>
    </row>
    <row r="487" spans="1:9" s="20" customFormat="1">
      <c r="A487" s="215"/>
      <c r="F487" s="216"/>
      <c r="G487" s="128"/>
      <c r="H487" s="158"/>
      <c r="I487" s="158"/>
    </row>
    <row r="488" spans="1:9" s="20" customFormat="1">
      <c r="A488" s="215"/>
      <c r="F488" s="216"/>
      <c r="G488" s="128"/>
      <c r="H488" s="158"/>
      <c r="I488" s="158"/>
    </row>
    <row r="489" spans="1:9" s="20" customFormat="1">
      <c r="A489" s="215"/>
      <c r="F489" s="216"/>
      <c r="G489" s="128"/>
      <c r="H489" s="158"/>
      <c r="I489" s="158"/>
    </row>
    <row r="490" spans="1:9" s="20" customFormat="1">
      <c r="A490" s="215"/>
      <c r="F490" s="216"/>
      <c r="G490" s="128"/>
      <c r="H490" s="158"/>
      <c r="I490" s="158"/>
    </row>
    <row r="491" spans="1:9" s="20" customFormat="1">
      <c r="A491" s="215"/>
      <c r="F491" s="216"/>
      <c r="G491" s="128"/>
      <c r="H491" s="158"/>
      <c r="I491" s="158"/>
    </row>
    <row r="492" spans="1:9" s="20" customFormat="1">
      <c r="A492" s="215"/>
      <c r="F492" s="216"/>
      <c r="G492" s="128"/>
      <c r="H492" s="158"/>
      <c r="I492" s="158"/>
    </row>
    <row r="493" spans="1:9" s="20" customFormat="1">
      <c r="A493" s="215"/>
      <c r="F493" s="216"/>
      <c r="G493" s="128"/>
      <c r="H493" s="158"/>
      <c r="I493" s="158"/>
    </row>
    <row r="494" spans="1:9" s="20" customFormat="1">
      <c r="A494" s="215"/>
      <c r="F494" s="216"/>
      <c r="G494" s="128"/>
      <c r="H494" s="158"/>
      <c r="I494" s="158"/>
    </row>
    <row r="495" spans="1:9" s="20" customFormat="1">
      <c r="A495" s="215"/>
      <c r="F495" s="216"/>
      <c r="G495" s="128"/>
      <c r="H495" s="158"/>
      <c r="I495" s="158"/>
    </row>
    <row r="496" spans="1:9" s="20" customFormat="1">
      <c r="A496" s="215"/>
      <c r="F496" s="216"/>
      <c r="G496" s="128"/>
      <c r="H496" s="158"/>
      <c r="I496" s="158"/>
    </row>
    <row r="497" spans="1:9" s="20" customFormat="1">
      <c r="A497" s="215"/>
      <c r="F497" s="216"/>
      <c r="G497" s="128"/>
      <c r="H497" s="158"/>
      <c r="I497" s="158"/>
    </row>
    <row r="498" spans="1:9" s="20" customFormat="1">
      <c r="A498" s="215"/>
      <c r="F498" s="216"/>
      <c r="G498" s="128"/>
      <c r="H498" s="158"/>
      <c r="I498" s="158"/>
    </row>
    <row r="499" spans="1:9" s="20" customFormat="1">
      <c r="A499" s="215"/>
      <c r="F499" s="216"/>
      <c r="G499" s="128"/>
      <c r="H499" s="158"/>
      <c r="I499" s="158"/>
    </row>
    <row r="500" spans="1:9" s="20" customFormat="1">
      <c r="A500" s="215"/>
      <c r="F500" s="216"/>
      <c r="G500" s="128"/>
      <c r="H500" s="158"/>
      <c r="I500" s="158"/>
    </row>
    <row r="501" spans="1:9" s="20" customFormat="1">
      <c r="A501" s="215"/>
      <c r="F501" s="216"/>
      <c r="G501" s="128"/>
      <c r="H501" s="158"/>
      <c r="I501" s="158"/>
    </row>
    <row r="502" spans="1:9" s="20" customFormat="1">
      <c r="A502" s="215"/>
      <c r="F502" s="216"/>
      <c r="G502" s="128"/>
      <c r="H502" s="158"/>
      <c r="I502" s="158"/>
    </row>
    <row r="503" spans="1:9" s="20" customFormat="1">
      <c r="A503" s="215"/>
      <c r="F503" s="216"/>
      <c r="G503" s="128"/>
      <c r="H503" s="158"/>
      <c r="I503" s="158"/>
    </row>
    <row r="504" spans="1:9" s="20" customFormat="1">
      <c r="A504" s="215"/>
      <c r="F504" s="216"/>
      <c r="G504" s="128"/>
      <c r="H504" s="158"/>
      <c r="I504" s="158"/>
    </row>
    <row r="505" spans="1:9" s="20" customFormat="1">
      <c r="A505" s="215"/>
      <c r="F505" s="216"/>
      <c r="G505" s="128"/>
      <c r="H505" s="158"/>
      <c r="I505" s="158"/>
    </row>
    <row r="506" spans="1:9" s="20" customFormat="1">
      <c r="A506" s="215"/>
      <c r="F506" s="216"/>
      <c r="G506" s="128"/>
      <c r="H506" s="158"/>
      <c r="I506" s="158"/>
    </row>
    <row r="507" spans="1:9" s="20" customFormat="1">
      <c r="A507" s="215"/>
      <c r="F507" s="216"/>
      <c r="G507" s="128"/>
      <c r="H507" s="158"/>
      <c r="I507" s="158"/>
    </row>
    <row r="508" spans="1:9" s="20" customFormat="1">
      <c r="A508" s="215"/>
      <c r="F508" s="216"/>
      <c r="G508" s="128"/>
      <c r="H508" s="158"/>
      <c r="I508" s="158"/>
    </row>
    <row r="509" spans="1:9" s="20" customFormat="1">
      <c r="A509" s="215"/>
      <c r="F509" s="216"/>
      <c r="G509" s="128"/>
      <c r="H509" s="158"/>
      <c r="I509" s="158"/>
    </row>
    <row r="510" spans="1:9" s="20" customFormat="1">
      <c r="A510" s="215"/>
      <c r="F510" s="216"/>
      <c r="G510" s="128"/>
      <c r="H510" s="158"/>
      <c r="I510" s="158"/>
    </row>
    <row r="511" spans="1:9" s="20" customFormat="1">
      <c r="A511" s="215"/>
      <c r="F511" s="216"/>
      <c r="G511" s="128"/>
      <c r="H511" s="158"/>
      <c r="I511" s="158"/>
    </row>
    <row r="512" spans="1:9" s="20" customFormat="1">
      <c r="A512" s="215"/>
      <c r="F512" s="216"/>
      <c r="G512" s="128"/>
      <c r="H512" s="158"/>
      <c r="I512" s="158"/>
    </row>
    <row r="513" spans="1:9" s="20" customFormat="1">
      <c r="A513" s="215"/>
      <c r="F513" s="216"/>
      <c r="G513" s="128"/>
      <c r="H513" s="158"/>
      <c r="I513" s="158"/>
    </row>
    <row r="514" spans="1:9" s="20" customFormat="1">
      <c r="A514" s="215"/>
      <c r="F514" s="216"/>
      <c r="G514" s="128"/>
      <c r="H514" s="158"/>
      <c r="I514" s="158"/>
    </row>
    <row r="515" spans="1:9" s="20" customFormat="1">
      <c r="A515" s="215"/>
      <c r="F515" s="216"/>
      <c r="G515" s="128"/>
      <c r="H515" s="158"/>
      <c r="I515" s="158"/>
    </row>
    <row r="516" spans="1:9" s="20" customFormat="1">
      <c r="A516" s="215"/>
      <c r="F516" s="216"/>
      <c r="G516" s="128"/>
      <c r="H516" s="158"/>
      <c r="I516" s="158"/>
    </row>
    <row r="517" spans="1:9" s="20" customFormat="1">
      <c r="A517" s="215"/>
      <c r="F517" s="216"/>
      <c r="G517" s="128"/>
      <c r="H517" s="158"/>
      <c r="I517" s="158"/>
    </row>
    <row r="518" spans="1:9" s="20" customFormat="1">
      <c r="A518" s="215"/>
      <c r="F518" s="216"/>
      <c r="G518" s="128"/>
      <c r="H518" s="158"/>
      <c r="I518" s="158"/>
    </row>
    <row r="519" spans="1:9" s="20" customFormat="1">
      <c r="A519" s="215"/>
      <c r="F519" s="216"/>
      <c r="G519" s="128"/>
      <c r="H519" s="158"/>
      <c r="I519" s="158"/>
    </row>
    <row r="520" spans="1:9" s="20" customFormat="1">
      <c r="A520" s="215"/>
      <c r="F520" s="216"/>
      <c r="G520" s="128"/>
      <c r="H520" s="158"/>
      <c r="I520" s="158"/>
    </row>
    <row r="521" spans="1:9" s="20" customFormat="1">
      <c r="A521" s="215"/>
      <c r="F521" s="216"/>
      <c r="G521" s="128"/>
      <c r="H521" s="158"/>
      <c r="I521" s="158"/>
    </row>
    <row r="522" spans="1:9" s="20" customFormat="1">
      <c r="A522" s="215"/>
      <c r="F522" s="216"/>
      <c r="G522" s="128"/>
      <c r="H522" s="158"/>
      <c r="I522" s="158"/>
    </row>
    <row r="523" spans="1:9" s="20" customFormat="1">
      <c r="A523" s="215"/>
      <c r="F523" s="216"/>
      <c r="G523" s="128"/>
      <c r="H523" s="158"/>
      <c r="I523" s="158"/>
    </row>
    <row r="524" spans="1:9" s="20" customFormat="1">
      <c r="A524" s="215"/>
      <c r="F524" s="216"/>
      <c r="G524" s="128"/>
      <c r="H524" s="158"/>
      <c r="I524" s="158"/>
    </row>
    <row r="525" spans="1:9" s="20" customFormat="1">
      <c r="A525" s="215"/>
      <c r="F525" s="216"/>
      <c r="G525" s="128"/>
      <c r="H525" s="158"/>
      <c r="I525" s="158"/>
    </row>
    <row r="526" spans="1:9" s="20" customFormat="1">
      <c r="A526" s="215"/>
      <c r="F526" s="216"/>
      <c r="G526" s="128"/>
      <c r="H526" s="158"/>
      <c r="I526" s="158"/>
    </row>
    <row r="527" spans="1:9" s="20" customFormat="1">
      <c r="A527" s="215"/>
      <c r="F527" s="216"/>
      <c r="G527" s="128"/>
      <c r="H527" s="158"/>
      <c r="I527" s="158"/>
    </row>
    <row r="528" spans="1:9" s="20" customFormat="1">
      <c r="A528" s="215"/>
      <c r="F528" s="216"/>
      <c r="G528" s="128"/>
      <c r="H528" s="158"/>
      <c r="I528" s="158"/>
    </row>
    <row r="529" spans="1:9" s="20" customFormat="1">
      <c r="A529" s="215"/>
      <c r="F529" s="216"/>
      <c r="G529" s="128"/>
      <c r="H529" s="158"/>
      <c r="I529" s="158"/>
    </row>
    <row r="530" spans="1:9" s="20" customFormat="1">
      <c r="A530" s="215"/>
      <c r="F530" s="216"/>
      <c r="G530" s="128"/>
      <c r="H530" s="158"/>
      <c r="I530" s="158"/>
    </row>
    <row r="531" spans="1:9" s="20" customFormat="1">
      <c r="A531" s="215"/>
      <c r="F531" s="216"/>
      <c r="G531" s="128"/>
      <c r="H531" s="158"/>
      <c r="I531" s="158"/>
    </row>
    <row r="532" spans="1:9" s="20" customFormat="1">
      <c r="A532" s="215"/>
      <c r="F532" s="216"/>
      <c r="G532" s="128"/>
      <c r="H532" s="158"/>
      <c r="I532" s="158"/>
    </row>
    <row r="533" spans="1:9" s="20" customFormat="1">
      <c r="A533" s="215"/>
      <c r="F533" s="216"/>
      <c r="G533" s="128"/>
      <c r="H533" s="158"/>
      <c r="I533" s="158"/>
    </row>
    <row r="534" spans="1:9" s="20" customFormat="1">
      <c r="A534" s="215"/>
      <c r="F534" s="216"/>
      <c r="G534" s="128"/>
      <c r="H534" s="158"/>
      <c r="I534" s="158"/>
    </row>
    <row r="535" spans="1:9" s="20" customFormat="1">
      <c r="A535" s="215"/>
      <c r="F535" s="216"/>
      <c r="G535" s="128"/>
      <c r="H535" s="158"/>
      <c r="I535" s="158"/>
    </row>
    <row r="536" spans="1:9" s="20" customFormat="1">
      <c r="A536" s="215"/>
      <c r="F536" s="216"/>
      <c r="G536" s="128"/>
      <c r="H536" s="158"/>
      <c r="I536" s="158"/>
    </row>
    <row r="537" spans="1:9" s="20" customFormat="1">
      <c r="A537" s="215"/>
      <c r="F537" s="216"/>
      <c r="G537" s="128"/>
      <c r="H537" s="158"/>
      <c r="I537" s="158"/>
    </row>
    <row r="538" spans="1:9" s="20" customFormat="1">
      <c r="A538" s="215"/>
      <c r="F538" s="216"/>
      <c r="G538" s="128"/>
      <c r="H538" s="158"/>
      <c r="I538" s="158"/>
    </row>
    <row r="539" spans="1:9" s="20" customFormat="1">
      <c r="A539" s="215"/>
      <c r="F539" s="216"/>
      <c r="G539" s="128"/>
      <c r="H539" s="158"/>
      <c r="I539" s="158"/>
    </row>
    <row r="540" spans="1:9" s="20" customFormat="1">
      <c r="A540" s="215"/>
      <c r="F540" s="216"/>
      <c r="G540" s="128"/>
      <c r="H540" s="158"/>
      <c r="I540" s="158"/>
    </row>
    <row r="541" spans="1:9" s="20" customFormat="1">
      <c r="A541" s="215"/>
      <c r="F541" s="216"/>
      <c r="G541" s="128"/>
      <c r="H541" s="158"/>
      <c r="I541" s="158"/>
    </row>
    <row r="542" spans="1:9" s="20" customFormat="1">
      <c r="A542" s="215"/>
      <c r="F542" s="216"/>
      <c r="G542" s="128"/>
      <c r="H542" s="158"/>
      <c r="I542" s="158"/>
    </row>
    <row r="543" spans="1:9" s="20" customFormat="1">
      <c r="A543" s="215"/>
      <c r="F543" s="216"/>
      <c r="G543" s="128"/>
      <c r="H543" s="158"/>
      <c r="I543" s="158"/>
    </row>
    <row r="544" spans="1:9" s="20" customFormat="1">
      <c r="A544" s="215"/>
      <c r="F544" s="216"/>
      <c r="G544" s="128"/>
      <c r="H544" s="158"/>
      <c r="I544" s="158"/>
    </row>
    <row r="545" spans="1:9" s="20" customFormat="1">
      <c r="A545" s="215"/>
      <c r="F545" s="216"/>
      <c r="G545" s="128"/>
      <c r="H545" s="158"/>
      <c r="I545" s="158"/>
    </row>
    <row r="546" spans="1:9" s="20" customFormat="1">
      <c r="A546" s="215"/>
      <c r="F546" s="216"/>
      <c r="G546" s="128"/>
      <c r="H546" s="158"/>
      <c r="I546" s="158"/>
    </row>
    <row r="547" spans="1:9" s="20" customFormat="1">
      <c r="A547" s="215"/>
      <c r="F547" s="216"/>
      <c r="G547" s="128"/>
      <c r="H547" s="158"/>
      <c r="I547" s="158"/>
    </row>
    <row r="548" spans="1:9" s="20" customFormat="1">
      <c r="A548" s="215"/>
      <c r="F548" s="216"/>
      <c r="G548" s="128"/>
      <c r="H548" s="158"/>
      <c r="I548" s="158"/>
    </row>
    <row r="549" spans="1:9" s="20" customFormat="1">
      <c r="A549" s="215"/>
      <c r="F549" s="216"/>
      <c r="G549" s="128"/>
      <c r="H549" s="158"/>
      <c r="I549" s="158"/>
    </row>
    <row r="550" spans="1:9" s="20" customFormat="1">
      <c r="A550" s="215"/>
      <c r="F550" s="216"/>
      <c r="G550" s="128"/>
      <c r="H550" s="158"/>
      <c r="I550" s="158"/>
    </row>
    <row r="551" spans="1:9" s="20" customFormat="1">
      <c r="A551" s="215"/>
      <c r="F551" s="216"/>
      <c r="G551" s="128"/>
      <c r="H551" s="158"/>
      <c r="I551" s="158"/>
    </row>
    <row r="552" spans="1:9" s="20" customFormat="1">
      <c r="A552" s="215"/>
      <c r="F552" s="216"/>
      <c r="G552" s="128"/>
      <c r="H552" s="158"/>
      <c r="I552" s="158"/>
    </row>
    <row r="553" spans="1:9" s="20" customFormat="1">
      <c r="A553" s="215"/>
      <c r="F553" s="216"/>
      <c r="G553" s="128"/>
      <c r="H553" s="158"/>
      <c r="I553" s="158"/>
    </row>
    <row r="554" spans="1:9" s="20" customFormat="1">
      <c r="A554" s="215"/>
      <c r="F554" s="216"/>
      <c r="G554" s="128"/>
      <c r="H554" s="158"/>
      <c r="I554" s="158"/>
    </row>
    <row r="555" spans="1:9" s="20" customFormat="1">
      <c r="A555" s="215"/>
      <c r="F555" s="216"/>
      <c r="G555" s="128"/>
      <c r="H555" s="158"/>
      <c r="I555" s="158"/>
    </row>
    <row r="556" spans="1:9" s="20" customFormat="1">
      <c r="A556" s="215"/>
      <c r="F556" s="216"/>
      <c r="G556" s="128"/>
      <c r="H556" s="158"/>
      <c r="I556" s="158"/>
    </row>
    <row r="557" spans="1:9" s="20" customFormat="1">
      <c r="A557" s="215"/>
      <c r="F557" s="216"/>
      <c r="G557" s="128"/>
      <c r="H557" s="158"/>
      <c r="I557" s="158"/>
    </row>
    <row r="558" spans="1:9" s="20" customFormat="1">
      <c r="A558" s="215"/>
      <c r="F558" s="216"/>
      <c r="G558" s="128"/>
      <c r="H558" s="158"/>
      <c r="I558" s="158"/>
    </row>
    <row r="559" spans="1:9" s="20" customFormat="1">
      <c r="A559" s="215"/>
      <c r="F559" s="216"/>
      <c r="G559" s="128"/>
      <c r="H559" s="158"/>
      <c r="I559" s="158"/>
    </row>
    <row r="560" spans="1:9" s="20" customFormat="1">
      <c r="A560" s="215"/>
      <c r="F560" s="216"/>
      <c r="G560" s="128"/>
      <c r="H560" s="158"/>
      <c r="I560" s="158"/>
    </row>
    <row r="561" spans="1:9" s="20" customFormat="1">
      <c r="A561" s="215"/>
      <c r="F561" s="216"/>
      <c r="G561" s="128"/>
      <c r="H561" s="158"/>
      <c r="I561" s="158"/>
    </row>
    <row r="562" spans="1:9" s="20" customFormat="1">
      <c r="A562" s="215"/>
      <c r="F562" s="216"/>
      <c r="G562" s="128"/>
      <c r="H562" s="158"/>
      <c r="I562" s="158"/>
    </row>
    <row r="563" spans="1:9" s="20" customFormat="1">
      <c r="A563" s="215"/>
      <c r="F563" s="216"/>
      <c r="G563" s="128"/>
      <c r="H563" s="158"/>
      <c r="I563" s="158"/>
    </row>
    <row r="564" spans="1:9" s="20" customFormat="1">
      <c r="A564" s="215"/>
      <c r="F564" s="216"/>
      <c r="G564" s="128"/>
      <c r="H564" s="158"/>
      <c r="I564" s="158"/>
    </row>
    <row r="565" spans="1:9" s="20" customFormat="1">
      <c r="A565" s="215"/>
      <c r="F565" s="216"/>
      <c r="G565" s="128"/>
      <c r="H565" s="158"/>
      <c r="I565" s="158"/>
    </row>
    <row r="566" spans="1:9" s="20" customFormat="1">
      <c r="A566" s="215"/>
      <c r="F566" s="216"/>
      <c r="G566" s="128"/>
      <c r="H566" s="158"/>
      <c r="I566" s="158"/>
    </row>
    <row r="567" spans="1:9" s="20" customFormat="1">
      <c r="A567" s="215"/>
      <c r="F567" s="216"/>
      <c r="G567" s="128"/>
      <c r="H567" s="158"/>
      <c r="I567" s="158"/>
    </row>
    <row r="568" spans="1:9" s="20" customFormat="1">
      <c r="A568" s="215"/>
      <c r="F568" s="216"/>
      <c r="G568" s="128"/>
      <c r="H568" s="158"/>
      <c r="I568" s="158"/>
    </row>
    <row r="569" spans="1:9" s="20" customFormat="1">
      <c r="A569" s="215"/>
      <c r="F569" s="216"/>
      <c r="G569" s="128"/>
      <c r="H569" s="158"/>
      <c r="I569" s="158"/>
    </row>
    <row r="570" spans="1:9" s="20" customFormat="1">
      <c r="A570" s="215"/>
      <c r="F570" s="216"/>
      <c r="G570" s="128"/>
      <c r="H570" s="158"/>
      <c r="I570" s="158"/>
    </row>
    <row r="571" spans="1:9" s="20" customFormat="1">
      <c r="A571" s="215"/>
      <c r="F571" s="216"/>
      <c r="G571" s="128"/>
      <c r="H571" s="158"/>
      <c r="I571" s="158"/>
    </row>
    <row r="572" spans="1:9" s="20" customFormat="1">
      <c r="A572" s="215"/>
      <c r="F572" s="216"/>
      <c r="G572" s="128"/>
      <c r="H572" s="158"/>
      <c r="I572" s="158"/>
    </row>
    <row r="573" spans="1:9" s="20" customFormat="1">
      <c r="A573" s="215"/>
      <c r="F573" s="216"/>
      <c r="G573" s="128"/>
      <c r="H573" s="158"/>
      <c r="I573" s="158"/>
    </row>
    <row r="574" spans="1:9" s="20" customFormat="1">
      <c r="A574" s="215"/>
      <c r="F574" s="216"/>
      <c r="G574" s="128"/>
      <c r="H574" s="158"/>
      <c r="I574" s="158"/>
    </row>
    <row r="575" spans="1:9" s="20" customFormat="1">
      <c r="A575" s="215"/>
      <c r="F575" s="216"/>
      <c r="G575" s="128"/>
      <c r="H575" s="158"/>
      <c r="I575" s="158"/>
    </row>
    <row r="576" spans="1:9" s="20" customFormat="1">
      <c r="A576" s="215"/>
      <c r="F576" s="216"/>
      <c r="G576" s="128"/>
      <c r="H576" s="158"/>
      <c r="I576" s="158"/>
    </row>
    <row r="577" spans="1:9" s="20" customFormat="1">
      <c r="A577" s="215"/>
      <c r="F577" s="216"/>
      <c r="G577" s="128"/>
      <c r="H577" s="158"/>
      <c r="I577" s="158"/>
    </row>
    <row r="578" spans="1:9" s="20" customFormat="1">
      <c r="A578" s="215"/>
      <c r="F578" s="216"/>
      <c r="G578" s="128"/>
      <c r="H578" s="158"/>
      <c r="I578" s="158"/>
    </row>
    <row r="579" spans="1:9" s="20" customFormat="1">
      <c r="A579" s="215"/>
      <c r="F579" s="216"/>
      <c r="G579" s="128"/>
      <c r="H579" s="158"/>
      <c r="I579" s="158"/>
    </row>
    <row r="580" spans="1:9" s="20" customFormat="1">
      <c r="A580" s="215"/>
      <c r="F580" s="216"/>
      <c r="G580" s="128"/>
      <c r="H580" s="158"/>
      <c r="I580" s="158"/>
    </row>
    <row r="581" spans="1:9" s="20" customFormat="1">
      <c r="A581" s="215"/>
      <c r="F581" s="216"/>
      <c r="G581" s="128"/>
      <c r="H581" s="158"/>
      <c r="I581" s="158"/>
    </row>
    <row r="582" spans="1:9" s="20" customFormat="1">
      <c r="A582" s="215"/>
      <c r="F582" s="216"/>
      <c r="G582" s="128"/>
      <c r="H582" s="158"/>
      <c r="I582" s="158"/>
    </row>
    <row r="583" spans="1:9" s="20" customFormat="1">
      <c r="A583" s="215"/>
      <c r="F583" s="216"/>
      <c r="G583" s="128"/>
      <c r="H583" s="158"/>
      <c r="I583" s="158"/>
    </row>
    <row r="584" spans="1:9" s="20" customFormat="1">
      <c r="A584" s="215"/>
      <c r="F584" s="216"/>
      <c r="G584" s="128"/>
      <c r="H584" s="158"/>
      <c r="I584" s="158"/>
    </row>
    <row r="585" spans="1:9" s="20" customFormat="1">
      <c r="A585" s="215"/>
      <c r="F585" s="216"/>
      <c r="G585" s="128"/>
      <c r="H585" s="158"/>
      <c r="I585" s="158"/>
    </row>
    <row r="586" spans="1:9" s="20" customFormat="1">
      <c r="A586" s="215"/>
      <c r="F586" s="216"/>
      <c r="G586" s="128"/>
      <c r="H586" s="158"/>
      <c r="I586" s="158"/>
    </row>
    <row r="587" spans="1:9" s="20" customFormat="1">
      <c r="A587" s="215"/>
      <c r="F587" s="216"/>
      <c r="G587" s="128"/>
      <c r="H587" s="158"/>
      <c r="I587" s="158"/>
    </row>
    <row r="588" spans="1:9" s="20" customFormat="1">
      <c r="A588" s="215"/>
      <c r="F588" s="216"/>
      <c r="G588" s="128"/>
      <c r="H588" s="158"/>
      <c r="I588" s="158"/>
    </row>
    <row r="589" spans="1:9" s="20" customFormat="1">
      <c r="A589" s="215"/>
      <c r="F589" s="216"/>
      <c r="G589" s="128"/>
      <c r="H589" s="158"/>
      <c r="I589" s="158"/>
    </row>
    <row r="590" spans="1:9" s="20" customFormat="1">
      <c r="A590" s="215"/>
      <c r="F590" s="216"/>
      <c r="G590" s="128"/>
      <c r="H590" s="158"/>
      <c r="I590" s="158"/>
    </row>
    <row r="591" spans="1:9" s="20" customFormat="1">
      <c r="A591" s="215"/>
      <c r="F591" s="216"/>
      <c r="G591" s="128"/>
      <c r="H591" s="158"/>
      <c r="I591" s="158"/>
    </row>
    <row r="592" spans="1:9" s="20" customFormat="1">
      <c r="A592" s="215"/>
      <c r="F592" s="216"/>
      <c r="G592" s="128"/>
      <c r="H592" s="158"/>
      <c r="I592" s="158"/>
    </row>
    <row r="593" spans="1:9" s="20" customFormat="1">
      <c r="A593" s="215"/>
      <c r="F593" s="216"/>
      <c r="G593" s="128"/>
      <c r="H593" s="158"/>
      <c r="I593" s="158"/>
    </row>
    <row r="594" spans="1:9" s="20" customFormat="1">
      <c r="A594" s="215"/>
      <c r="F594" s="216"/>
      <c r="G594" s="128"/>
      <c r="H594" s="158"/>
      <c r="I594" s="158"/>
    </row>
    <row r="595" spans="1:9" s="20" customFormat="1">
      <c r="A595" s="215"/>
      <c r="F595" s="216"/>
      <c r="G595" s="128"/>
      <c r="H595" s="158"/>
      <c r="I595" s="158"/>
    </row>
    <row r="596" spans="1:9" s="20" customFormat="1">
      <c r="A596" s="215"/>
      <c r="F596" s="216"/>
      <c r="G596" s="128"/>
      <c r="H596" s="158"/>
      <c r="I596" s="158"/>
    </row>
    <row r="597" spans="1:9" s="20" customFormat="1">
      <c r="A597" s="215"/>
      <c r="F597" s="216"/>
      <c r="G597" s="128"/>
      <c r="H597" s="158"/>
      <c r="I597" s="158"/>
    </row>
    <row r="598" spans="1:9" s="20" customFormat="1">
      <c r="A598" s="215"/>
      <c r="F598" s="216"/>
      <c r="G598" s="128"/>
      <c r="H598" s="158"/>
      <c r="I598" s="158"/>
    </row>
    <row r="599" spans="1:9" s="20" customFormat="1">
      <c r="A599" s="215"/>
      <c r="F599" s="216"/>
      <c r="G599" s="128"/>
      <c r="H599" s="158"/>
      <c r="I599" s="158"/>
    </row>
    <row r="600" spans="1:9" s="20" customFormat="1">
      <c r="A600" s="215"/>
      <c r="F600" s="216"/>
      <c r="G600" s="128"/>
      <c r="H600" s="158"/>
      <c r="I600" s="158"/>
    </row>
    <row r="601" spans="1:9" s="20" customFormat="1">
      <c r="A601" s="215"/>
      <c r="F601" s="216"/>
      <c r="G601" s="128"/>
      <c r="H601" s="158"/>
      <c r="I601" s="158"/>
    </row>
    <row r="602" spans="1:9" s="20" customFormat="1">
      <c r="A602" s="215"/>
      <c r="F602" s="216"/>
      <c r="G602" s="128"/>
      <c r="H602" s="158"/>
      <c r="I602" s="158"/>
    </row>
    <row r="603" spans="1:9" s="20" customFormat="1">
      <c r="A603" s="215"/>
      <c r="F603" s="216"/>
      <c r="G603" s="128"/>
      <c r="H603" s="158"/>
      <c r="I603" s="158"/>
    </row>
    <row r="604" spans="1:9" s="20" customFormat="1">
      <c r="A604" s="215"/>
      <c r="F604" s="216"/>
      <c r="G604" s="128"/>
      <c r="H604" s="158"/>
      <c r="I604" s="158"/>
    </row>
    <row r="605" spans="1:9" s="20" customFormat="1">
      <c r="A605" s="215"/>
      <c r="F605" s="216"/>
      <c r="G605" s="128"/>
      <c r="H605" s="158"/>
      <c r="I605" s="158"/>
    </row>
    <row r="606" spans="1:9" s="20" customFormat="1">
      <c r="A606" s="215"/>
      <c r="F606" s="216"/>
      <c r="G606" s="128"/>
      <c r="H606" s="158"/>
      <c r="I606" s="158"/>
    </row>
    <row r="607" spans="1:9" s="20" customFormat="1">
      <c r="A607" s="215"/>
      <c r="F607" s="216"/>
      <c r="G607" s="128"/>
      <c r="H607" s="158"/>
      <c r="I607" s="158"/>
    </row>
    <row r="608" spans="1:9" s="20" customFormat="1">
      <c r="A608" s="215"/>
      <c r="F608" s="216"/>
      <c r="G608" s="128"/>
      <c r="H608" s="158"/>
      <c r="I608" s="158"/>
    </row>
    <row r="609" spans="1:9" s="20" customFormat="1">
      <c r="A609" s="215"/>
      <c r="F609" s="216"/>
      <c r="G609" s="128"/>
      <c r="H609" s="158"/>
      <c r="I609" s="158"/>
    </row>
    <row r="610" spans="1:9" s="20" customFormat="1">
      <c r="A610" s="215"/>
      <c r="F610" s="216"/>
      <c r="G610" s="128"/>
      <c r="H610" s="158"/>
      <c r="I610" s="158"/>
    </row>
    <row r="611" spans="1:9" s="20" customFormat="1">
      <c r="A611" s="215"/>
      <c r="F611" s="216"/>
      <c r="G611" s="128"/>
      <c r="H611" s="158"/>
      <c r="I611" s="158"/>
    </row>
    <row r="612" spans="1:9" s="20" customFormat="1">
      <c r="A612" s="215"/>
      <c r="F612" s="216"/>
      <c r="G612" s="128"/>
      <c r="H612" s="158"/>
      <c r="I612" s="158"/>
    </row>
    <row r="613" spans="1:9" s="20" customFormat="1">
      <c r="A613" s="215"/>
      <c r="F613" s="216"/>
      <c r="G613" s="128"/>
      <c r="H613" s="158"/>
      <c r="I613" s="158"/>
    </row>
    <row r="614" spans="1:9" s="20" customFormat="1">
      <c r="A614" s="215"/>
      <c r="F614" s="216"/>
      <c r="G614" s="128"/>
      <c r="H614" s="158"/>
      <c r="I614" s="158"/>
    </row>
    <row r="615" spans="1:9" s="20" customFormat="1">
      <c r="A615" s="215"/>
      <c r="F615" s="216"/>
      <c r="G615" s="128"/>
      <c r="H615" s="158"/>
      <c r="I615" s="158"/>
    </row>
    <row r="616" spans="1:9" s="20" customFormat="1">
      <c r="A616" s="215"/>
      <c r="F616" s="216"/>
      <c r="G616" s="128"/>
      <c r="H616" s="158"/>
      <c r="I616" s="158"/>
    </row>
    <row r="617" spans="1:9" s="20" customFormat="1">
      <c r="A617" s="215"/>
      <c r="F617" s="216"/>
      <c r="G617" s="128"/>
      <c r="H617" s="158"/>
      <c r="I617" s="158"/>
    </row>
    <row r="618" spans="1:9" s="20" customFormat="1">
      <c r="A618" s="215"/>
      <c r="F618" s="216"/>
      <c r="G618" s="128"/>
      <c r="H618" s="158"/>
      <c r="I618" s="158"/>
    </row>
    <row r="619" spans="1:9" s="20" customFormat="1">
      <c r="A619" s="215"/>
      <c r="F619" s="216"/>
      <c r="G619" s="128"/>
      <c r="H619" s="158"/>
      <c r="I619" s="158"/>
    </row>
    <row r="620" spans="1:9" s="20" customFormat="1">
      <c r="A620" s="215"/>
      <c r="F620" s="216"/>
      <c r="G620" s="128"/>
      <c r="H620" s="158"/>
      <c r="I620" s="158"/>
    </row>
    <row r="621" spans="1:9" s="20" customFormat="1">
      <c r="A621" s="215"/>
      <c r="F621" s="216"/>
      <c r="G621" s="128"/>
      <c r="H621" s="158"/>
      <c r="I621" s="158"/>
    </row>
    <row r="622" spans="1:9" s="20" customFormat="1">
      <c r="A622" s="215"/>
      <c r="F622" s="216"/>
      <c r="G622" s="128"/>
      <c r="H622" s="158"/>
      <c r="I622" s="158"/>
    </row>
    <row r="623" spans="1:9" s="20" customFormat="1">
      <c r="A623" s="215"/>
      <c r="F623" s="216"/>
      <c r="G623" s="128"/>
      <c r="H623" s="158"/>
      <c r="I623" s="158"/>
    </row>
    <row r="624" spans="1:9" s="20" customFormat="1">
      <c r="A624" s="215"/>
      <c r="F624" s="216"/>
      <c r="G624" s="128"/>
      <c r="H624" s="158"/>
      <c r="I624" s="158"/>
    </row>
    <row r="625" spans="1:9" s="20" customFormat="1">
      <c r="A625" s="215"/>
      <c r="F625" s="216"/>
      <c r="G625" s="128"/>
      <c r="H625" s="158"/>
      <c r="I625" s="158"/>
    </row>
    <row r="626" spans="1:9" s="20" customFormat="1">
      <c r="A626" s="215"/>
      <c r="F626" s="216"/>
      <c r="G626" s="128"/>
      <c r="H626" s="158"/>
      <c r="I626" s="158"/>
    </row>
    <row r="627" spans="1:9" s="20" customFormat="1">
      <c r="A627" s="215"/>
      <c r="F627" s="216"/>
      <c r="G627" s="128"/>
      <c r="H627" s="158"/>
      <c r="I627" s="158"/>
    </row>
    <row r="628" spans="1:9" s="20" customFormat="1">
      <c r="A628" s="215"/>
      <c r="F628" s="216"/>
      <c r="G628" s="128"/>
      <c r="H628" s="158"/>
      <c r="I628" s="158"/>
    </row>
    <row r="629" spans="1:9" s="20" customFormat="1">
      <c r="A629" s="215"/>
      <c r="F629" s="216"/>
      <c r="G629" s="128"/>
      <c r="H629" s="158"/>
      <c r="I629" s="158"/>
    </row>
    <row r="630" spans="1:9" s="20" customFormat="1">
      <c r="A630" s="215"/>
      <c r="F630" s="216"/>
      <c r="G630" s="128"/>
      <c r="H630" s="158"/>
      <c r="I630" s="158"/>
    </row>
    <row r="631" spans="1:9" s="20" customFormat="1">
      <c r="A631" s="215"/>
      <c r="F631" s="216"/>
      <c r="G631" s="128"/>
      <c r="H631" s="158"/>
      <c r="I631" s="158"/>
    </row>
    <row r="632" spans="1:9" s="20" customFormat="1">
      <c r="A632" s="215"/>
      <c r="F632" s="216"/>
      <c r="G632" s="128"/>
      <c r="H632" s="158"/>
      <c r="I632" s="158"/>
    </row>
    <row r="633" spans="1:9" s="20" customFormat="1">
      <c r="A633" s="215"/>
      <c r="F633" s="216"/>
      <c r="G633" s="128"/>
      <c r="H633" s="158"/>
      <c r="I633" s="158"/>
    </row>
    <row r="634" spans="1:9" s="20" customFormat="1">
      <c r="A634" s="215"/>
      <c r="F634" s="216"/>
      <c r="G634" s="128"/>
      <c r="H634" s="158"/>
      <c r="I634" s="158"/>
    </row>
    <row r="635" spans="1:9" s="20" customFormat="1">
      <c r="A635" s="215"/>
      <c r="F635" s="216"/>
      <c r="G635" s="128"/>
      <c r="H635" s="158"/>
      <c r="I635" s="158"/>
    </row>
    <row r="636" spans="1:9" s="20" customFormat="1">
      <c r="A636" s="215"/>
      <c r="F636" s="216"/>
      <c r="G636" s="128"/>
      <c r="H636" s="158"/>
      <c r="I636" s="158"/>
    </row>
    <row r="637" spans="1:9" s="20" customFormat="1">
      <c r="A637" s="215"/>
      <c r="F637" s="216"/>
      <c r="G637" s="128"/>
      <c r="H637" s="158"/>
      <c r="I637" s="158"/>
    </row>
    <row r="638" spans="1:9" s="20" customFormat="1">
      <c r="A638" s="215"/>
      <c r="F638" s="216"/>
      <c r="G638" s="128"/>
      <c r="H638" s="158"/>
      <c r="I638" s="158"/>
    </row>
    <row r="639" spans="1:9" s="20" customFormat="1">
      <c r="A639" s="215"/>
      <c r="F639" s="216"/>
      <c r="G639" s="128"/>
      <c r="H639" s="158"/>
      <c r="I639" s="158"/>
    </row>
    <row r="640" spans="1:9" s="20" customFormat="1">
      <c r="A640" s="215"/>
      <c r="F640" s="216"/>
      <c r="G640" s="128"/>
      <c r="H640" s="158"/>
      <c r="I640" s="158"/>
    </row>
    <row r="641" spans="1:9" s="20" customFormat="1">
      <c r="A641" s="215"/>
      <c r="F641" s="216"/>
      <c r="G641" s="128"/>
      <c r="H641" s="158"/>
      <c r="I641" s="158"/>
    </row>
    <row r="642" spans="1:9" s="20" customFormat="1">
      <c r="A642" s="215"/>
      <c r="F642" s="216"/>
      <c r="G642" s="128"/>
      <c r="H642" s="158"/>
      <c r="I642" s="158"/>
    </row>
    <row r="643" spans="1:9" s="20" customFormat="1">
      <c r="A643" s="215"/>
      <c r="F643" s="216"/>
      <c r="G643" s="128"/>
      <c r="H643" s="158"/>
      <c r="I643" s="158"/>
    </row>
    <row r="644" spans="1:9" s="20" customFormat="1">
      <c r="A644" s="215"/>
      <c r="F644" s="216"/>
      <c r="G644" s="128"/>
      <c r="H644" s="158"/>
      <c r="I644" s="158"/>
    </row>
    <row r="645" spans="1:9" s="20" customFormat="1">
      <c r="A645" s="215"/>
      <c r="F645" s="216"/>
      <c r="G645" s="128"/>
      <c r="H645" s="158"/>
      <c r="I645" s="158"/>
    </row>
    <row r="646" spans="1:9" s="20" customFormat="1">
      <c r="A646" s="215"/>
      <c r="F646" s="216"/>
      <c r="G646" s="128"/>
      <c r="H646" s="158"/>
      <c r="I646" s="158"/>
    </row>
    <row r="647" spans="1:9" s="20" customFormat="1">
      <c r="A647" s="215"/>
      <c r="F647" s="216"/>
      <c r="G647" s="128"/>
      <c r="H647" s="158"/>
      <c r="I647" s="158"/>
    </row>
    <row r="648" spans="1:9" s="20" customFormat="1">
      <c r="A648" s="215"/>
      <c r="F648" s="216"/>
      <c r="G648" s="128"/>
      <c r="H648" s="158"/>
      <c r="I648" s="158"/>
    </row>
    <row r="649" spans="1:9" s="20" customFormat="1">
      <c r="A649" s="215"/>
      <c r="F649" s="216"/>
      <c r="G649" s="128"/>
      <c r="H649" s="158"/>
      <c r="I649" s="158"/>
    </row>
    <row r="650" spans="1:9" s="20" customFormat="1">
      <c r="A650" s="215"/>
      <c r="F650" s="216"/>
      <c r="G650" s="128"/>
      <c r="H650" s="158"/>
      <c r="I650" s="158"/>
    </row>
    <row r="651" spans="1:9" s="20" customFormat="1">
      <c r="A651" s="215"/>
      <c r="F651" s="216"/>
      <c r="G651" s="128"/>
      <c r="H651" s="158"/>
      <c r="I651" s="158"/>
    </row>
    <row r="652" spans="1:9" s="20" customFormat="1">
      <c r="A652" s="215"/>
      <c r="F652" s="216"/>
      <c r="G652" s="128"/>
      <c r="H652" s="158"/>
      <c r="I652" s="158"/>
    </row>
    <row r="653" spans="1:9" s="20" customFormat="1">
      <c r="A653" s="215"/>
      <c r="F653" s="216"/>
      <c r="G653" s="128"/>
      <c r="H653" s="158"/>
      <c r="I653" s="158"/>
    </row>
    <row r="654" spans="1:9" s="20" customFormat="1">
      <c r="A654" s="215"/>
      <c r="F654" s="216"/>
      <c r="G654" s="128"/>
      <c r="H654" s="158"/>
      <c r="I654" s="158"/>
    </row>
    <row r="655" spans="1:9" s="20" customFormat="1">
      <c r="A655" s="215"/>
      <c r="F655" s="216"/>
      <c r="G655" s="128"/>
      <c r="H655" s="158"/>
      <c r="I655" s="158"/>
    </row>
    <row r="656" spans="1:9" s="20" customFormat="1">
      <c r="A656" s="215"/>
      <c r="F656" s="216"/>
      <c r="G656" s="128"/>
      <c r="H656" s="158"/>
      <c r="I656" s="158"/>
    </row>
    <row r="657" spans="1:9" s="20" customFormat="1">
      <c r="A657" s="215"/>
      <c r="F657" s="216"/>
      <c r="G657" s="128"/>
      <c r="H657" s="158"/>
      <c r="I657" s="158"/>
    </row>
    <row r="658" spans="1:9" s="20" customFormat="1">
      <c r="A658" s="215"/>
      <c r="F658" s="216"/>
      <c r="G658" s="128"/>
      <c r="H658" s="158"/>
      <c r="I658" s="158"/>
    </row>
    <row r="659" spans="1:9" s="20" customFormat="1">
      <c r="A659" s="215"/>
      <c r="F659" s="216"/>
      <c r="G659" s="128"/>
      <c r="H659" s="158"/>
      <c r="I659" s="158"/>
    </row>
    <row r="660" spans="1:9" s="20" customFormat="1">
      <c r="A660" s="215"/>
      <c r="F660" s="216"/>
      <c r="G660" s="128"/>
      <c r="H660" s="158"/>
      <c r="I660" s="158"/>
    </row>
    <row r="661" spans="1:9" s="20" customFormat="1">
      <c r="A661" s="215"/>
      <c r="F661" s="216"/>
      <c r="G661" s="128"/>
      <c r="H661" s="158"/>
      <c r="I661" s="158"/>
    </row>
    <row r="662" spans="1:9" s="20" customFormat="1">
      <c r="A662" s="215"/>
      <c r="F662" s="216"/>
      <c r="G662" s="128"/>
      <c r="H662" s="158"/>
      <c r="I662" s="158"/>
    </row>
    <row r="663" spans="1:9" s="20" customFormat="1">
      <c r="A663" s="215"/>
      <c r="F663" s="216"/>
      <c r="G663" s="128"/>
      <c r="H663" s="158"/>
      <c r="I663" s="158"/>
    </row>
    <row r="664" spans="1:9" s="20" customFormat="1">
      <c r="A664" s="215"/>
      <c r="F664" s="216"/>
      <c r="G664" s="128"/>
      <c r="H664" s="158"/>
      <c r="I664" s="158"/>
    </row>
    <row r="665" spans="1:9" s="20" customFormat="1">
      <c r="A665" s="215"/>
      <c r="F665" s="216"/>
      <c r="G665" s="128"/>
      <c r="H665" s="158"/>
      <c r="I665" s="158"/>
    </row>
    <row r="666" spans="1:9" s="20" customFormat="1">
      <c r="A666" s="215"/>
      <c r="F666" s="216"/>
      <c r="G666" s="128"/>
      <c r="H666" s="158"/>
      <c r="I666" s="158"/>
    </row>
    <row r="667" spans="1:9" s="20" customFormat="1">
      <c r="A667" s="215"/>
      <c r="F667" s="216"/>
      <c r="G667" s="128"/>
      <c r="H667" s="158"/>
      <c r="I667" s="158"/>
    </row>
    <row r="668" spans="1:9" s="20" customFormat="1">
      <c r="A668" s="215"/>
      <c r="F668" s="216"/>
      <c r="G668" s="128"/>
      <c r="H668" s="158"/>
      <c r="I668" s="158"/>
    </row>
    <row r="669" spans="1:9" s="20" customFormat="1">
      <c r="A669" s="215"/>
      <c r="F669" s="216"/>
      <c r="G669" s="128"/>
      <c r="H669" s="158"/>
      <c r="I669" s="158"/>
    </row>
    <row r="670" spans="1:9" s="20" customFormat="1">
      <c r="A670" s="215"/>
      <c r="F670" s="216"/>
      <c r="G670" s="128"/>
      <c r="H670" s="158"/>
      <c r="I670" s="158"/>
    </row>
    <row r="671" spans="1:9" s="20" customFormat="1">
      <c r="A671" s="215"/>
      <c r="F671" s="216"/>
      <c r="G671" s="128"/>
      <c r="H671" s="158"/>
      <c r="I671" s="158"/>
    </row>
    <row r="672" spans="1:9" s="20" customFormat="1">
      <c r="A672" s="215"/>
      <c r="F672" s="216"/>
      <c r="G672" s="128"/>
      <c r="H672" s="158"/>
      <c r="I672" s="158"/>
    </row>
    <row r="673" spans="1:9" s="20" customFormat="1">
      <c r="A673" s="215"/>
      <c r="F673" s="216"/>
      <c r="G673" s="128"/>
      <c r="H673" s="158"/>
      <c r="I673" s="158"/>
    </row>
    <row r="674" spans="1:9" s="20" customFormat="1">
      <c r="A674" s="215"/>
      <c r="F674" s="216"/>
      <c r="G674" s="128"/>
      <c r="H674" s="158"/>
      <c r="I674" s="158"/>
    </row>
    <row r="675" spans="1:9" s="20" customFormat="1">
      <c r="A675" s="215"/>
      <c r="F675" s="216"/>
      <c r="G675" s="128"/>
      <c r="H675" s="158"/>
      <c r="I675" s="158"/>
    </row>
    <row r="676" spans="1:9" s="20" customFormat="1">
      <c r="A676" s="215"/>
      <c r="F676" s="216"/>
      <c r="G676" s="128"/>
      <c r="H676" s="158"/>
      <c r="I676" s="158"/>
    </row>
    <row r="677" spans="1:9" s="20" customFormat="1">
      <c r="A677" s="215"/>
      <c r="F677" s="216"/>
      <c r="G677" s="128"/>
      <c r="H677" s="158"/>
      <c r="I677" s="158"/>
    </row>
    <row r="678" spans="1:9" s="20" customFormat="1">
      <c r="A678" s="215"/>
      <c r="F678" s="216"/>
      <c r="G678" s="128"/>
      <c r="H678" s="158"/>
      <c r="I678" s="158"/>
    </row>
    <row r="679" spans="1:9" s="20" customFormat="1">
      <c r="A679" s="215"/>
      <c r="F679" s="216"/>
      <c r="G679" s="128"/>
      <c r="H679" s="158"/>
      <c r="I679" s="158"/>
    </row>
    <row r="680" spans="1:9" s="20" customFormat="1">
      <c r="A680" s="215"/>
      <c r="F680" s="216"/>
      <c r="G680" s="128"/>
      <c r="H680" s="158"/>
      <c r="I680" s="158"/>
    </row>
    <row r="681" spans="1:9" s="20" customFormat="1">
      <c r="A681" s="215"/>
      <c r="F681" s="216"/>
      <c r="G681" s="128"/>
      <c r="H681" s="158"/>
      <c r="I681" s="158"/>
    </row>
    <row r="682" spans="1:9" s="20" customFormat="1">
      <c r="A682" s="215"/>
      <c r="F682" s="216"/>
      <c r="G682" s="128"/>
      <c r="H682" s="158"/>
      <c r="I682" s="158"/>
    </row>
    <row r="683" spans="1:9" s="20" customFormat="1">
      <c r="A683" s="215"/>
      <c r="F683" s="216"/>
      <c r="G683" s="128"/>
      <c r="H683" s="158"/>
      <c r="I683" s="158"/>
    </row>
    <row r="684" spans="1:9" s="20" customFormat="1">
      <c r="A684" s="215"/>
      <c r="F684" s="216"/>
      <c r="G684" s="128"/>
      <c r="H684" s="158"/>
      <c r="I684" s="158"/>
    </row>
    <row r="685" spans="1:9" s="20" customFormat="1">
      <c r="A685" s="215"/>
      <c r="F685" s="216"/>
      <c r="G685" s="128"/>
      <c r="H685" s="158"/>
      <c r="I685" s="158"/>
    </row>
    <row r="686" spans="1:9" s="20" customFormat="1">
      <c r="A686" s="215"/>
      <c r="F686" s="216"/>
      <c r="G686" s="128"/>
      <c r="H686" s="158"/>
      <c r="I686" s="158"/>
    </row>
    <row r="687" spans="1:9" s="20" customFormat="1">
      <c r="A687" s="215"/>
      <c r="F687" s="216"/>
      <c r="G687" s="128"/>
      <c r="H687" s="158"/>
      <c r="I687" s="158"/>
    </row>
    <row r="688" spans="1:9" s="20" customFormat="1">
      <c r="A688" s="215"/>
      <c r="F688" s="216"/>
      <c r="G688" s="128"/>
      <c r="H688" s="158"/>
      <c r="I688" s="158"/>
    </row>
    <row r="689" spans="1:9" s="20" customFormat="1">
      <c r="A689" s="215"/>
      <c r="F689" s="216"/>
      <c r="G689" s="128"/>
      <c r="H689" s="158"/>
      <c r="I689" s="158"/>
    </row>
    <row r="690" spans="1:9" s="20" customFormat="1">
      <c r="A690" s="215"/>
      <c r="F690" s="216"/>
      <c r="G690" s="128"/>
      <c r="H690" s="158"/>
      <c r="I690" s="158"/>
    </row>
    <row r="691" spans="1:9" s="20" customFormat="1">
      <c r="A691" s="215"/>
      <c r="F691" s="216"/>
      <c r="G691" s="128"/>
      <c r="H691" s="158"/>
      <c r="I691" s="158"/>
    </row>
    <row r="692" spans="1:9" s="20" customFormat="1">
      <c r="A692" s="215"/>
      <c r="F692" s="216"/>
      <c r="G692" s="128"/>
      <c r="H692" s="158"/>
      <c r="I692" s="158"/>
    </row>
    <row r="693" spans="1:9" s="20" customFormat="1">
      <c r="A693" s="215"/>
      <c r="F693" s="216"/>
      <c r="G693" s="128"/>
      <c r="H693" s="158"/>
      <c r="I693" s="158"/>
    </row>
    <row r="694" spans="1:9" s="20" customFormat="1">
      <c r="A694" s="215"/>
      <c r="F694" s="216"/>
      <c r="G694" s="128"/>
      <c r="H694" s="158"/>
      <c r="I694" s="158"/>
    </row>
    <row r="695" spans="1:9" s="20" customFormat="1">
      <c r="A695" s="215"/>
      <c r="F695" s="216"/>
      <c r="G695" s="128"/>
      <c r="H695" s="158"/>
      <c r="I695" s="158"/>
    </row>
    <row r="696" spans="1:9" s="20" customFormat="1">
      <c r="A696" s="215"/>
      <c r="F696" s="216"/>
      <c r="G696" s="128"/>
      <c r="H696" s="158"/>
      <c r="I696" s="158"/>
    </row>
    <row r="697" spans="1:9" s="20" customFormat="1">
      <c r="A697" s="215"/>
      <c r="F697" s="216"/>
      <c r="G697" s="128"/>
      <c r="H697" s="158"/>
      <c r="I697" s="158"/>
    </row>
    <row r="698" spans="1:9" s="20" customFormat="1">
      <c r="A698" s="215"/>
      <c r="F698" s="216"/>
      <c r="G698" s="128"/>
      <c r="H698" s="158"/>
      <c r="I698" s="158"/>
    </row>
    <row r="699" spans="1:9" s="20" customFormat="1">
      <c r="A699" s="215"/>
      <c r="F699" s="216"/>
      <c r="G699" s="128"/>
      <c r="H699" s="158"/>
      <c r="I699" s="158"/>
    </row>
    <row r="700" spans="1:9" s="20" customFormat="1">
      <c r="A700" s="215"/>
      <c r="F700" s="216"/>
      <c r="G700" s="128"/>
      <c r="H700" s="158"/>
      <c r="I700" s="158"/>
    </row>
    <row r="701" spans="1:9" s="20" customFormat="1">
      <c r="A701" s="215"/>
      <c r="F701" s="216"/>
      <c r="G701" s="128"/>
      <c r="H701" s="158"/>
      <c r="I701" s="158"/>
    </row>
    <row r="702" spans="1:9" s="20" customFormat="1">
      <c r="A702" s="215"/>
      <c r="F702" s="216"/>
      <c r="G702" s="128"/>
      <c r="H702" s="158"/>
      <c r="I702" s="158"/>
    </row>
    <row r="703" spans="1:9" s="20" customFormat="1">
      <c r="A703" s="215"/>
      <c r="F703" s="216"/>
      <c r="G703" s="128"/>
      <c r="H703" s="158"/>
      <c r="I703" s="158"/>
    </row>
    <row r="704" spans="1:9" s="20" customFormat="1">
      <c r="A704" s="215"/>
      <c r="F704" s="216"/>
      <c r="G704" s="128"/>
      <c r="H704" s="158"/>
      <c r="I704" s="158"/>
    </row>
    <row r="705" spans="1:9" s="20" customFormat="1">
      <c r="A705" s="215"/>
      <c r="F705" s="216"/>
      <c r="G705" s="128"/>
      <c r="H705" s="158"/>
      <c r="I705" s="158"/>
    </row>
    <row r="706" spans="1:9" s="20" customFormat="1">
      <c r="A706" s="215"/>
      <c r="F706" s="216"/>
      <c r="G706" s="128"/>
      <c r="H706" s="158"/>
      <c r="I706" s="158"/>
    </row>
    <row r="707" spans="1:9" s="20" customFormat="1">
      <c r="A707" s="215"/>
      <c r="F707" s="216"/>
      <c r="G707" s="128"/>
      <c r="H707" s="158"/>
      <c r="I707" s="158"/>
    </row>
    <row r="708" spans="1:9" s="20" customFormat="1">
      <c r="A708" s="215"/>
      <c r="F708" s="216"/>
      <c r="G708" s="128"/>
      <c r="H708" s="158"/>
      <c r="I708" s="158"/>
    </row>
    <row r="709" spans="1:9" s="20" customFormat="1">
      <c r="A709" s="215"/>
      <c r="F709" s="216"/>
      <c r="G709" s="128"/>
      <c r="H709" s="158"/>
      <c r="I709" s="158"/>
    </row>
    <row r="710" spans="1:9" s="20" customFormat="1">
      <c r="A710" s="215"/>
      <c r="F710" s="216"/>
      <c r="G710" s="128"/>
      <c r="H710" s="158"/>
      <c r="I710" s="158"/>
    </row>
    <row r="711" spans="1:9" s="20" customFormat="1">
      <c r="A711" s="215"/>
      <c r="F711" s="216"/>
      <c r="G711" s="128"/>
      <c r="H711" s="158"/>
      <c r="I711" s="158"/>
    </row>
    <row r="712" spans="1:9" s="20" customFormat="1">
      <c r="A712" s="215"/>
      <c r="F712" s="216"/>
      <c r="G712" s="128"/>
      <c r="H712" s="158"/>
      <c r="I712" s="158"/>
    </row>
    <row r="713" spans="1:9" s="20" customFormat="1">
      <c r="A713" s="215"/>
      <c r="F713" s="216"/>
      <c r="G713" s="128"/>
      <c r="H713" s="158"/>
      <c r="I713" s="158"/>
    </row>
    <row r="714" spans="1:9" s="20" customFormat="1">
      <c r="A714" s="215"/>
      <c r="F714" s="216"/>
      <c r="G714" s="128"/>
      <c r="H714" s="158"/>
      <c r="I714" s="158"/>
    </row>
    <row r="715" spans="1:9" s="20" customFormat="1">
      <c r="A715" s="215"/>
      <c r="F715" s="216"/>
      <c r="G715" s="128"/>
      <c r="H715" s="158"/>
      <c r="I715" s="158"/>
    </row>
    <row r="716" spans="1:9" s="20" customFormat="1">
      <c r="A716" s="215"/>
      <c r="F716" s="216"/>
      <c r="G716" s="128"/>
      <c r="H716" s="158"/>
      <c r="I716" s="158"/>
    </row>
    <row r="717" spans="1:9" s="20" customFormat="1">
      <c r="A717" s="215"/>
      <c r="F717" s="216"/>
      <c r="G717" s="128"/>
      <c r="H717" s="158"/>
      <c r="I717" s="158"/>
    </row>
    <row r="718" spans="1:9" s="20" customFormat="1">
      <c r="A718" s="215"/>
      <c r="F718" s="216"/>
      <c r="G718" s="128"/>
      <c r="H718" s="158"/>
      <c r="I718" s="158"/>
    </row>
    <row r="719" spans="1:9" s="20" customFormat="1">
      <c r="A719" s="215"/>
      <c r="F719" s="216"/>
      <c r="G719" s="128"/>
      <c r="H719" s="158"/>
      <c r="I719" s="158"/>
    </row>
    <row r="720" spans="1:9" s="20" customFormat="1">
      <c r="A720" s="215"/>
      <c r="F720" s="216"/>
      <c r="G720" s="128"/>
      <c r="H720" s="158"/>
      <c r="I720" s="158"/>
    </row>
    <row r="721" spans="1:9" s="20" customFormat="1">
      <c r="A721" s="215"/>
      <c r="F721" s="216"/>
      <c r="G721" s="128"/>
      <c r="H721" s="158"/>
      <c r="I721" s="158"/>
    </row>
    <row r="722" spans="1:9" s="20" customFormat="1">
      <c r="A722" s="215"/>
      <c r="F722" s="216"/>
      <c r="G722" s="128"/>
      <c r="H722" s="158"/>
      <c r="I722" s="158"/>
    </row>
    <row r="723" spans="1:9" s="20" customFormat="1">
      <c r="A723" s="215"/>
      <c r="F723" s="216"/>
      <c r="G723" s="128"/>
      <c r="H723" s="158"/>
      <c r="I723" s="158"/>
    </row>
    <row r="724" spans="1:9" s="20" customFormat="1">
      <c r="A724" s="215"/>
      <c r="F724" s="216"/>
      <c r="G724" s="128"/>
      <c r="H724" s="158"/>
      <c r="I724" s="158"/>
    </row>
    <row r="725" spans="1:9" s="20" customFormat="1">
      <c r="A725" s="215"/>
      <c r="F725" s="216"/>
      <c r="G725" s="128"/>
      <c r="H725" s="158"/>
      <c r="I725" s="158"/>
    </row>
    <row r="726" spans="1:9" s="20" customFormat="1">
      <c r="A726" s="215"/>
      <c r="F726" s="216"/>
      <c r="G726" s="128"/>
      <c r="H726" s="158"/>
      <c r="I726" s="158"/>
    </row>
    <row r="727" spans="1:9" s="20" customFormat="1">
      <c r="A727" s="215"/>
      <c r="F727" s="216"/>
      <c r="G727" s="128"/>
      <c r="H727" s="158"/>
      <c r="I727" s="158"/>
    </row>
    <row r="728" spans="1:9" s="20" customFormat="1">
      <c r="A728" s="215"/>
      <c r="F728" s="216"/>
      <c r="G728" s="128"/>
      <c r="H728" s="158"/>
      <c r="I728" s="158"/>
    </row>
    <row r="729" spans="1:9" s="20" customFormat="1">
      <c r="A729" s="215"/>
      <c r="F729" s="216"/>
      <c r="G729" s="128"/>
      <c r="H729" s="158"/>
      <c r="I729" s="158"/>
    </row>
    <row r="730" spans="1:9" s="20" customFormat="1">
      <c r="A730" s="215"/>
      <c r="F730" s="216"/>
      <c r="G730" s="128"/>
      <c r="H730" s="158"/>
      <c r="I730" s="158"/>
    </row>
    <row r="731" spans="1:9" s="20" customFormat="1">
      <c r="A731" s="215"/>
      <c r="F731" s="216"/>
      <c r="G731" s="128"/>
      <c r="H731" s="158"/>
      <c r="I731" s="158"/>
    </row>
    <row r="732" spans="1:9" s="20" customFormat="1">
      <c r="A732" s="215"/>
      <c r="F732" s="216"/>
      <c r="G732" s="128"/>
      <c r="H732" s="158"/>
      <c r="I732" s="158"/>
    </row>
    <row r="733" spans="1:9" s="20" customFormat="1">
      <c r="A733" s="215"/>
      <c r="F733" s="216"/>
      <c r="G733" s="128"/>
      <c r="H733" s="158"/>
      <c r="I733" s="158"/>
    </row>
    <row r="734" spans="1:9" s="20" customFormat="1">
      <c r="A734" s="215"/>
      <c r="F734" s="216"/>
      <c r="G734" s="128"/>
      <c r="H734" s="158"/>
      <c r="I734" s="158"/>
    </row>
    <row r="735" spans="1:9" s="20" customFormat="1">
      <c r="A735" s="215"/>
      <c r="F735" s="216"/>
      <c r="G735" s="128"/>
      <c r="H735" s="158"/>
      <c r="I735" s="158"/>
    </row>
    <row r="736" spans="1:9" s="20" customFormat="1">
      <c r="A736" s="215"/>
      <c r="F736" s="216"/>
      <c r="G736" s="128"/>
      <c r="H736" s="158"/>
      <c r="I736" s="158"/>
    </row>
    <row r="737" spans="1:9" s="20" customFormat="1">
      <c r="A737" s="215"/>
      <c r="F737" s="216"/>
      <c r="G737" s="128"/>
      <c r="H737" s="158"/>
      <c r="I737" s="158"/>
    </row>
  </sheetData>
  <pageMargins left="0.7" right="0.7" top="0.75" bottom="0.75" header="0.3" footer="0.3"/>
  <pageSetup orientation="portrait" r:id="rId1"/>
  <ignoredErrors>
    <ignoredError sqref="E110:E120 E137:E143 E122:E132 E149:E157" formulaRange="1"/>
    <ignoredError sqref="F79:F80" formula="1"/>
  </ignoredErrors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A1:U10"/>
  <sheetViews>
    <sheetView workbookViewId="0">
      <selection activeCell="H21" sqref="H21"/>
    </sheetView>
  </sheetViews>
  <sheetFormatPr defaultRowHeight="15"/>
  <cols>
    <col min="1" max="1" width="9.140625" style="20"/>
    <col min="2" max="2" width="41.28515625" style="20" bestFit="1" customWidth="1"/>
    <col min="3" max="3" width="10.85546875" style="20" bestFit="1" customWidth="1"/>
    <col min="4" max="5" width="9.140625" style="20"/>
    <col min="6" max="6" width="18" style="20" bestFit="1" customWidth="1"/>
    <col min="7" max="16384" width="9.140625" style="20"/>
  </cols>
  <sheetData>
    <row r="1" spans="1:21">
      <c r="A1" s="215"/>
      <c r="F1" s="216"/>
      <c r="G1" s="128"/>
      <c r="H1" s="158"/>
      <c r="I1" s="158"/>
    </row>
    <row r="2" spans="1:21" ht="19.5">
      <c r="A2" s="215"/>
      <c r="B2" s="1" t="s">
        <v>139</v>
      </c>
      <c r="C2" s="1"/>
      <c r="D2" s="1"/>
      <c r="E2" s="1"/>
      <c r="F2" s="217"/>
      <c r="G2" s="130"/>
      <c r="H2" s="178"/>
      <c r="I2" s="158"/>
      <c r="J2" s="2"/>
    </row>
    <row r="3" spans="1:21">
      <c r="A3" s="215"/>
      <c r="B3" s="24" t="s">
        <v>103</v>
      </c>
      <c r="C3" s="3"/>
      <c r="D3" s="3"/>
      <c r="E3" s="3"/>
      <c r="F3" s="217"/>
      <c r="G3" s="130"/>
      <c r="H3" s="178"/>
      <c r="I3" s="158"/>
      <c r="J3" s="2"/>
    </row>
    <row r="4" spans="1:21" s="25" customFormat="1" ht="12.75">
      <c r="A4" s="331"/>
      <c r="F4" s="216"/>
      <c r="G4" s="128"/>
      <c r="H4" s="332"/>
      <c r="I4" s="332"/>
    </row>
    <row r="5" spans="1:21" s="25" customFormat="1" ht="12.75">
      <c r="A5" s="331"/>
      <c r="B5" s="27"/>
      <c r="C5" s="27"/>
      <c r="D5" s="27"/>
      <c r="E5" s="27"/>
      <c r="F5" s="27"/>
      <c r="G5" s="128"/>
      <c r="H5" s="332"/>
      <c r="I5" s="335"/>
      <c r="J5" s="336"/>
      <c r="K5" s="336"/>
      <c r="L5" s="336"/>
      <c r="M5" s="336"/>
      <c r="N5" s="336"/>
      <c r="O5" s="336"/>
      <c r="P5" s="336"/>
      <c r="Q5" s="336"/>
      <c r="R5" s="336"/>
      <c r="S5" s="336"/>
      <c r="T5" s="336"/>
      <c r="U5" s="336"/>
    </row>
    <row r="6" spans="1:21" s="25" customFormat="1" ht="12.75">
      <c r="A6" s="331"/>
      <c r="B6" s="29" t="s">
        <v>1657</v>
      </c>
      <c r="C6" s="29" t="s">
        <v>1656</v>
      </c>
      <c r="D6" s="30" t="s">
        <v>236</v>
      </c>
      <c r="E6" s="29"/>
      <c r="F6" s="29"/>
      <c r="G6" s="128"/>
      <c r="H6" s="332"/>
      <c r="I6" s="332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</row>
    <row r="7" spans="1:21">
      <c r="B7" s="20" t="s">
        <v>1620</v>
      </c>
      <c r="C7" s="810">
        <v>0.05</v>
      </c>
      <c r="D7" s="811"/>
      <c r="E7" s="811"/>
    </row>
    <row r="8" spans="1:21">
      <c r="B8" s="20" t="s">
        <v>1654</v>
      </c>
      <c r="C8" s="810">
        <v>0.2</v>
      </c>
      <c r="D8" s="811"/>
      <c r="E8" s="811"/>
    </row>
    <row r="9" spans="1:21">
      <c r="B9" s="20" t="s">
        <v>1619</v>
      </c>
      <c r="C9" s="810">
        <v>0.1</v>
      </c>
      <c r="D9" s="811" t="s">
        <v>1658</v>
      </c>
      <c r="E9" s="811"/>
    </row>
    <row r="10" spans="1:21">
      <c r="B10" s="812" t="s">
        <v>1655</v>
      </c>
      <c r="C10" s="815">
        <f>SUM(C7:C9)</f>
        <v>0.35</v>
      </c>
      <c r="D10" s="813"/>
      <c r="E10" s="813"/>
      <c r="F10" s="814"/>
    </row>
  </sheetData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B2:P91"/>
  <sheetViews>
    <sheetView zoomScale="78" zoomScaleNormal="78" workbookViewId="0">
      <selection activeCell="I68" sqref="I68"/>
    </sheetView>
  </sheetViews>
  <sheetFormatPr defaultRowHeight="12.75"/>
  <cols>
    <col min="1" max="1" width="5.140625" style="25" customWidth="1"/>
    <col min="2" max="2" width="7.7109375" style="25" customWidth="1"/>
    <col min="3" max="3" width="35.7109375" style="25" customWidth="1"/>
    <col min="4" max="4" width="13.140625" style="25" customWidth="1"/>
    <col min="5" max="5" width="13.5703125" style="25" bestFit="1" customWidth="1"/>
    <col min="6" max="6" width="13.140625" style="25" customWidth="1"/>
    <col min="7" max="7" width="13.140625" style="25" bestFit="1" customWidth="1"/>
    <col min="8" max="8" width="13.140625" style="25" customWidth="1"/>
    <col min="9" max="9" width="11.42578125" style="25" bestFit="1" customWidth="1"/>
    <col min="10" max="10" width="13.140625" style="25" bestFit="1" customWidth="1"/>
    <col min="11" max="11" width="11.7109375" style="25" bestFit="1" customWidth="1"/>
    <col min="12" max="13" width="13.140625" style="25" bestFit="1" customWidth="1"/>
    <col min="14" max="16384" width="9.140625" style="25"/>
  </cols>
  <sheetData>
    <row r="2" spans="2:7" ht="19.5">
      <c r="B2" s="1" t="s">
        <v>89</v>
      </c>
      <c r="C2" s="2"/>
      <c r="D2" s="2"/>
    </row>
    <row r="3" spans="2:7">
      <c r="B3" s="3" t="s">
        <v>103</v>
      </c>
      <c r="C3" s="2"/>
      <c r="D3" s="2"/>
    </row>
    <row r="5" spans="2:7">
      <c r="B5" s="27" t="s">
        <v>66</v>
      </c>
      <c r="C5" s="73"/>
      <c r="D5" s="74">
        <v>2010</v>
      </c>
      <c r="E5" s="74"/>
      <c r="F5" s="74">
        <v>2011</v>
      </c>
      <c r="G5" s="74"/>
    </row>
    <row r="6" spans="2:7">
      <c r="B6" s="81"/>
      <c r="C6" s="81"/>
      <c r="D6" s="81" t="s">
        <v>69</v>
      </c>
      <c r="E6" s="81"/>
      <c r="F6" s="81" t="s">
        <v>69</v>
      </c>
      <c r="G6" s="81"/>
    </row>
    <row r="7" spans="2:7">
      <c r="B7" s="76"/>
      <c r="C7" s="76"/>
      <c r="D7" s="77"/>
      <c r="E7" s="77"/>
      <c r="F7" s="77"/>
      <c r="G7" s="77"/>
    </row>
    <row r="8" spans="2:7">
      <c r="B8" s="76" t="s">
        <v>86</v>
      </c>
      <c r="C8" s="76"/>
      <c r="D8" s="78">
        <v>302813</v>
      </c>
      <c r="F8" s="78">
        <v>302673</v>
      </c>
      <c r="G8" s="78"/>
    </row>
    <row r="9" spans="2:7">
      <c r="B9" s="76" t="s">
        <v>87</v>
      </c>
      <c r="C9" s="76"/>
      <c r="D9" s="83">
        <v>771947</v>
      </c>
      <c r="F9" s="83">
        <v>753329</v>
      </c>
      <c r="G9" s="83"/>
    </row>
    <row r="10" spans="2:7">
      <c r="B10" s="76" t="s">
        <v>79</v>
      </c>
      <c r="C10" s="76"/>
      <c r="D10" s="84">
        <f t="shared" ref="D10" si="0">SUM(D8:D9)</f>
        <v>1074760</v>
      </c>
      <c r="F10" s="84">
        <f>SUM(F8:F9)</f>
        <v>1056002</v>
      </c>
      <c r="G10" s="84"/>
    </row>
    <row r="11" spans="2:7">
      <c r="B11" s="76" t="s">
        <v>80</v>
      </c>
      <c r="C11" s="76"/>
      <c r="D11" s="85">
        <f t="shared" ref="D11" si="1">D10/312</f>
        <v>3444.7435897435898</v>
      </c>
      <c r="F11" s="85">
        <f>F10/312</f>
        <v>3384.6217948717949</v>
      </c>
      <c r="G11" s="85"/>
    </row>
    <row r="12" spans="2:7">
      <c r="B12" s="76"/>
      <c r="C12" s="76"/>
      <c r="D12" s="77"/>
      <c r="E12" s="77"/>
      <c r="F12" s="77"/>
      <c r="G12" s="77"/>
    </row>
    <row r="13" spans="2:7">
      <c r="B13" s="82" t="s">
        <v>72</v>
      </c>
      <c r="C13" s="82"/>
      <c r="D13" s="82"/>
      <c r="E13" s="82"/>
      <c r="F13" s="82"/>
      <c r="G13" s="82"/>
    </row>
    <row r="14" spans="2:7">
      <c r="B14" s="76" t="s">
        <v>85</v>
      </c>
      <c r="C14" s="76"/>
      <c r="D14" s="77">
        <f>D10</f>
        <v>1074760</v>
      </c>
      <c r="E14" s="77"/>
      <c r="F14" s="77">
        <f>F10</f>
        <v>1056002</v>
      </c>
      <c r="G14" s="77"/>
    </row>
    <row r="15" spans="2:7">
      <c r="B15" s="76" t="s">
        <v>81</v>
      </c>
      <c r="C15" s="76"/>
      <c r="D15" s="77">
        <v>957881</v>
      </c>
      <c r="E15" s="77"/>
      <c r="F15" s="77">
        <v>1023011</v>
      </c>
      <c r="G15" s="77"/>
    </row>
    <row r="16" spans="2:7">
      <c r="B16" s="76" t="s">
        <v>82</v>
      </c>
      <c r="C16" s="76"/>
      <c r="D16" s="78">
        <v>6716791</v>
      </c>
      <c r="E16" s="77"/>
      <c r="F16" s="78">
        <v>7277186</v>
      </c>
      <c r="G16" s="78"/>
    </row>
    <row r="17" spans="2:7">
      <c r="B17" s="76" t="s">
        <v>83</v>
      </c>
      <c r="C17" s="76"/>
      <c r="D17" s="79">
        <f>D16/D15</f>
        <v>7.0121351190805541</v>
      </c>
      <c r="E17" s="77"/>
      <c r="F17" s="79">
        <f>F16/F15</f>
        <v>7.1134973133231219</v>
      </c>
      <c r="G17" s="79"/>
    </row>
    <row r="18" spans="2:7">
      <c r="B18" s="76" t="s">
        <v>84</v>
      </c>
      <c r="C18" s="76"/>
      <c r="D18" s="86">
        <f>D15/D10</f>
        <v>0.89125107000632697</v>
      </c>
      <c r="E18" s="77"/>
      <c r="F18" s="86">
        <f>F15/F10</f>
        <v>0.96875858189662523</v>
      </c>
      <c r="G18" s="86"/>
    </row>
    <row r="19" spans="2:7">
      <c r="B19" s="76"/>
      <c r="C19" s="76"/>
      <c r="D19" s="77"/>
      <c r="E19" s="77"/>
      <c r="F19" s="77"/>
      <c r="G19" s="77"/>
    </row>
    <row r="20" spans="2:7">
      <c r="B20" s="82" t="s">
        <v>74</v>
      </c>
      <c r="C20" s="82"/>
      <c r="D20" s="82"/>
      <c r="E20" s="82"/>
      <c r="F20" s="82"/>
      <c r="G20" s="82"/>
    </row>
    <row r="21" spans="2:7">
      <c r="B21" s="76" t="s">
        <v>85</v>
      </c>
      <c r="C21" s="76"/>
      <c r="D21" s="77">
        <f>D10</f>
        <v>1074760</v>
      </c>
      <c r="E21" s="77"/>
      <c r="F21" s="77">
        <f>F10</f>
        <v>1056002</v>
      </c>
      <c r="G21" s="77"/>
    </row>
    <row r="22" spans="2:7">
      <c r="B22" s="87" t="s">
        <v>88</v>
      </c>
      <c r="C22" s="76"/>
      <c r="D22" s="77"/>
      <c r="E22" s="77"/>
      <c r="F22" s="77"/>
      <c r="G22" s="77"/>
    </row>
    <row r="23" spans="2:7">
      <c r="B23" s="76" t="s">
        <v>23</v>
      </c>
      <c r="C23" s="76"/>
      <c r="D23" s="77">
        <v>340850</v>
      </c>
      <c r="E23" s="88">
        <f>D23/$D$21</f>
        <v>0.31714057091815845</v>
      </c>
      <c r="F23" s="77">
        <v>340162</v>
      </c>
      <c r="G23" s="88">
        <f>F23/$F$21</f>
        <v>0.32212249598012127</v>
      </c>
    </row>
    <row r="24" spans="2:7">
      <c r="B24" s="76" t="s">
        <v>26</v>
      </c>
      <c r="C24" s="76"/>
      <c r="D24" s="77">
        <v>622693</v>
      </c>
      <c r="E24" s="88">
        <f t="shared" ref="E24:E30" si="2">D24/$D$21</f>
        <v>0.579378651978116</v>
      </c>
      <c r="F24" s="77">
        <v>614537</v>
      </c>
      <c r="G24" s="88">
        <f t="shared" ref="G24:G30" si="3">F24/$F$21</f>
        <v>0.58194681449466956</v>
      </c>
    </row>
    <row r="25" spans="2:7">
      <c r="B25" s="76" t="s">
        <v>64</v>
      </c>
      <c r="C25" s="76"/>
      <c r="D25" s="96"/>
      <c r="E25" s="97"/>
      <c r="F25" s="96"/>
      <c r="G25" s="97"/>
    </row>
    <row r="26" spans="2:7">
      <c r="B26" s="76" t="s">
        <v>75</v>
      </c>
      <c r="C26" s="76"/>
      <c r="D26" s="77">
        <v>64318</v>
      </c>
      <c r="E26" s="88">
        <f t="shared" si="2"/>
        <v>5.9844058208344188E-2</v>
      </c>
      <c r="F26" s="77">
        <v>58363</v>
      </c>
      <c r="G26" s="88">
        <f t="shared" si="3"/>
        <v>5.5267887750212595E-2</v>
      </c>
    </row>
    <row r="27" spans="2:7">
      <c r="B27" s="76" t="s">
        <v>51</v>
      </c>
      <c r="C27" s="76"/>
      <c r="D27" s="77">
        <v>16885</v>
      </c>
      <c r="E27" s="88">
        <f>D27/$D$21</f>
        <v>1.5710484201123972E-2</v>
      </c>
      <c r="F27" s="77">
        <v>21055</v>
      </c>
      <c r="G27" s="88">
        <f>F27/$F$21</f>
        <v>1.9938409207558318E-2</v>
      </c>
    </row>
    <row r="28" spans="2:7">
      <c r="B28" s="76" t="s">
        <v>53</v>
      </c>
      <c r="C28" s="76"/>
      <c r="D28" s="96"/>
      <c r="E28" s="97"/>
      <c r="F28" s="96"/>
      <c r="G28" s="97"/>
    </row>
    <row r="29" spans="2:7">
      <c r="B29" s="76" t="s">
        <v>76</v>
      </c>
      <c r="C29" s="76"/>
      <c r="D29" s="77">
        <v>111341</v>
      </c>
      <c r="E29" s="88">
        <f t="shared" si="2"/>
        <v>0.10359615169898397</v>
      </c>
      <c r="F29" s="77">
        <v>109950</v>
      </c>
      <c r="G29" s="88">
        <f t="shared" si="3"/>
        <v>0.10411912098651328</v>
      </c>
    </row>
    <row r="30" spans="2:7">
      <c r="B30" s="76" t="s">
        <v>77</v>
      </c>
      <c r="C30" s="76"/>
      <c r="D30" s="77">
        <v>138115</v>
      </c>
      <c r="E30" s="88">
        <f t="shared" si="2"/>
        <v>0.12850775987197141</v>
      </c>
      <c r="F30" s="77">
        <v>132255</v>
      </c>
      <c r="G30" s="88">
        <f t="shared" si="3"/>
        <v>0.12524124007340895</v>
      </c>
    </row>
    <row r="31" spans="2:7">
      <c r="B31" s="76"/>
      <c r="C31" s="76"/>
      <c r="D31" s="76"/>
      <c r="E31" s="95"/>
      <c r="F31" s="76"/>
      <c r="G31" s="95"/>
    </row>
    <row r="34" spans="2:8">
      <c r="B34" s="27" t="s">
        <v>78</v>
      </c>
      <c r="C34" s="27"/>
      <c r="D34" s="74"/>
      <c r="E34" s="74" t="s">
        <v>67</v>
      </c>
      <c r="F34" s="74" t="s">
        <v>68</v>
      </c>
      <c r="G34" s="74"/>
    </row>
    <row r="35" spans="2:8">
      <c r="B35" s="81"/>
      <c r="C35" s="81"/>
      <c r="D35" s="81" t="s">
        <v>70</v>
      </c>
      <c r="E35" s="81" t="s">
        <v>71</v>
      </c>
      <c r="F35" s="81" t="s">
        <v>71</v>
      </c>
      <c r="G35" s="81"/>
    </row>
    <row r="36" spans="2:8">
      <c r="B36" s="75" t="s">
        <v>72</v>
      </c>
      <c r="D36" s="77"/>
      <c r="E36" s="78"/>
      <c r="F36" s="78"/>
      <c r="G36" s="78"/>
    </row>
    <row r="37" spans="2:8">
      <c r="B37" s="76" t="s">
        <v>73</v>
      </c>
      <c r="D37" s="77">
        <f>7277186-957820</f>
        <v>6319366</v>
      </c>
      <c r="E37" s="79">
        <v>3</v>
      </c>
      <c r="F37" s="79">
        <f>D37*E37/10^6*6/7</f>
        <v>16.249798285714284</v>
      </c>
      <c r="G37" s="79"/>
      <c r="H37" s="210">
        <f>F37*10^6/300</f>
        <v>54165.994285714281</v>
      </c>
    </row>
    <row r="38" spans="2:8">
      <c r="B38" s="76"/>
      <c r="D38" s="77"/>
      <c r="E38" s="79"/>
      <c r="F38" s="79"/>
      <c r="G38" s="79"/>
    </row>
    <row r="39" spans="2:8">
      <c r="B39" s="75" t="s">
        <v>74</v>
      </c>
      <c r="D39" s="77"/>
      <c r="E39" s="79"/>
      <c r="F39" s="79">
        <f>SUM(F40:F45)</f>
        <v>13.383929999999999</v>
      </c>
      <c r="G39" s="79"/>
    </row>
    <row r="40" spans="2:8">
      <c r="B40" s="76" t="s">
        <v>23</v>
      </c>
      <c r="D40" s="77">
        <v>557523</v>
      </c>
      <c r="E40" s="79">
        <v>3</v>
      </c>
      <c r="F40" s="79">
        <f t="shared" ref="F40:F45" si="4">D40*E40/10^6</f>
        <v>1.672569</v>
      </c>
      <c r="G40" s="79"/>
    </row>
    <row r="41" spans="2:8">
      <c r="B41" s="76" t="s">
        <v>26</v>
      </c>
      <c r="D41" s="77">
        <v>614537</v>
      </c>
      <c r="E41" s="79">
        <v>3</v>
      </c>
      <c r="F41" s="79">
        <f t="shared" si="4"/>
        <v>1.8436110000000001</v>
      </c>
      <c r="G41" s="79"/>
    </row>
    <row r="42" spans="2:8">
      <c r="B42" s="76" t="s">
        <v>51</v>
      </c>
      <c r="D42" s="77">
        <f>F27</f>
        <v>21055</v>
      </c>
      <c r="E42" s="79">
        <v>100</v>
      </c>
      <c r="F42" s="79">
        <f t="shared" si="4"/>
        <v>2.1055000000000001</v>
      </c>
      <c r="G42" s="79"/>
    </row>
    <row r="43" spans="2:8">
      <c r="B43" s="76" t="s">
        <v>75</v>
      </c>
      <c r="D43" s="77">
        <f>F26</f>
        <v>58363</v>
      </c>
      <c r="E43" s="79">
        <v>50</v>
      </c>
      <c r="F43" s="79">
        <f t="shared" si="4"/>
        <v>2.9181499999999998</v>
      </c>
      <c r="G43" s="79"/>
    </row>
    <row r="44" spans="2:8">
      <c r="B44" s="76" t="s">
        <v>76</v>
      </c>
      <c r="D44" s="77">
        <f>F29</f>
        <v>109950</v>
      </c>
      <c r="E44" s="79">
        <v>20</v>
      </c>
      <c r="F44" s="79">
        <f t="shared" si="4"/>
        <v>2.1989999999999998</v>
      </c>
      <c r="G44" s="79"/>
    </row>
    <row r="45" spans="2:8">
      <c r="B45" s="76" t="s">
        <v>77</v>
      </c>
      <c r="D45" s="77">
        <f>F30</f>
        <v>132255</v>
      </c>
      <c r="E45" s="79">
        <v>20</v>
      </c>
      <c r="F45" s="79">
        <f t="shared" si="4"/>
        <v>2.6450999999999998</v>
      </c>
      <c r="G45" s="79"/>
    </row>
    <row r="46" spans="2:8" ht="13.5" thickBot="1">
      <c r="D46" s="78"/>
      <c r="E46" s="78"/>
      <c r="F46" s="80">
        <f>SUM(F40:F45)+F37</f>
        <v>29.633728285714284</v>
      </c>
      <c r="G46" s="80"/>
    </row>
    <row r="47" spans="2:8" ht="13.5" thickTop="1"/>
    <row r="49" spans="2:16">
      <c r="B49" s="27" t="s">
        <v>262</v>
      </c>
      <c r="C49" s="27"/>
      <c r="D49" s="74"/>
      <c r="E49" s="74"/>
      <c r="F49" s="74"/>
      <c r="G49" s="74"/>
      <c r="H49" s="27"/>
      <c r="I49" s="27"/>
      <c r="J49" s="74"/>
      <c r="K49" s="74"/>
      <c r="L49" s="74"/>
      <c r="M49" s="74"/>
    </row>
    <row r="50" spans="2:16">
      <c r="B50" s="81"/>
      <c r="C50" s="81"/>
      <c r="D50" s="81"/>
      <c r="E50" s="81"/>
      <c r="F50" s="81"/>
      <c r="G50" s="81" t="s">
        <v>181</v>
      </c>
      <c r="H50" s="81" t="s">
        <v>184</v>
      </c>
      <c r="I50" s="81" t="s">
        <v>183</v>
      </c>
      <c r="J50" s="81" t="s">
        <v>185</v>
      </c>
      <c r="K50" s="81" t="s">
        <v>186</v>
      </c>
      <c r="L50" s="81" t="s">
        <v>198</v>
      </c>
      <c r="M50" s="81" t="s">
        <v>234</v>
      </c>
    </row>
    <row r="51" spans="2:16">
      <c r="B51" s="76" t="s">
        <v>263</v>
      </c>
      <c r="C51" s="76"/>
      <c r="D51" s="76"/>
      <c r="E51" s="76"/>
      <c r="F51" s="76"/>
      <c r="G51" s="77">
        <v>5</v>
      </c>
      <c r="H51" s="77">
        <v>6</v>
      </c>
      <c r="I51" s="204">
        <v>0</v>
      </c>
      <c r="J51" s="77">
        <v>6</v>
      </c>
      <c r="K51" s="77">
        <v>35</v>
      </c>
      <c r="L51" s="77">
        <v>6</v>
      </c>
      <c r="M51" s="205">
        <f>SUM(G51:L51)</f>
        <v>58</v>
      </c>
      <c r="O51" s="32"/>
    </row>
    <row r="52" spans="2:16">
      <c r="B52" s="76" t="s">
        <v>23</v>
      </c>
      <c r="C52" s="76"/>
      <c r="D52" s="76"/>
      <c r="E52" s="76"/>
      <c r="F52" s="76"/>
      <c r="G52" s="77">
        <v>5</v>
      </c>
      <c r="H52" s="77">
        <v>0</v>
      </c>
      <c r="I52" s="204">
        <v>3</v>
      </c>
      <c r="J52" s="77">
        <v>0</v>
      </c>
      <c r="K52" s="77">
        <v>10</v>
      </c>
      <c r="L52" s="77">
        <v>8</v>
      </c>
      <c r="M52" s="205">
        <f t="shared" ref="M52:M59" si="5">SUM(G52:L52)</f>
        <v>26</v>
      </c>
    </row>
    <row r="53" spans="2:16">
      <c r="B53" s="76" t="s">
        <v>64</v>
      </c>
      <c r="C53" s="76"/>
      <c r="D53" s="76"/>
      <c r="E53" s="76"/>
      <c r="F53" s="76"/>
      <c r="G53" s="77">
        <v>9</v>
      </c>
      <c r="H53" s="77">
        <v>0</v>
      </c>
      <c r="I53" s="204">
        <v>7</v>
      </c>
      <c r="J53" s="77">
        <v>0</v>
      </c>
      <c r="K53" s="77">
        <v>2</v>
      </c>
      <c r="L53" s="77">
        <v>4</v>
      </c>
      <c r="M53" s="205">
        <f t="shared" si="5"/>
        <v>22</v>
      </c>
    </row>
    <row r="54" spans="2:16">
      <c r="B54" s="76" t="s">
        <v>26</v>
      </c>
      <c r="C54" s="76"/>
      <c r="D54" s="76"/>
      <c r="E54" s="76"/>
      <c r="F54" s="76"/>
      <c r="G54" s="77">
        <v>5</v>
      </c>
      <c r="H54" s="77">
        <v>0</v>
      </c>
      <c r="I54" s="77">
        <v>25</v>
      </c>
      <c r="J54" s="77">
        <v>0</v>
      </c>
      <c r="K54" s="77">
        <v>2</v>
      </c>
      <c r="L54" s="77">
        <v>2</v>
      </c>
      <c r="M54" s="205">
        <f t="shared" si="5"/>
        <v>34</v>
      </c>
    </row>
    <row r="55" spans="2:16">
      <c r="B55" s="76" t="s">
        <v>264</v>
      </c>
      <c r="C55" s="76"/>
      <c r="D55" s="76"/>
      <c r="E55" s="76"/>
      <c r="F55" s="76"/>
      <c r="G55" s="77">
        <v>16</v>
      </c>
      <c r="H55" s="77">
        <v>0</v>
      </c>
      <c r="I55" s="77">
        <v>5</v>
      </c>
      <c r="J55" s="77">
        <v>0</v>
      </c>
      <c r="K55" s="77">
        <v>1</v>
      </c>
      <c r="L55" s="77">
        <v>4</v>
      </c>
      <c r="M55" s="205">
        <f t="shared" si="5"/>
        <v>26</v>
      </c>
    </row>
    <row r="56" spans="2:16">
      <c r="B56" s="76" t="s">
        <v>265</v>
      </c>
      <c r="C56" s="76"/>
      <c r="D56" s="76"/>
      <c r="E56" s="76"/>
      <c r="F56" s="76"/>
      <c r="G56" s="77">
        <v>10</v>
      </c>
      <c r="H56" s="77">
        <v>0</v>
      </c>
      <c r="I56" s="77">
        <v>5</v>
      </c>
      <c r="J56" s="77">
        <v>0</v>
      </c>
      <c r="K56" s="77">
        <v>2</v>
      </c>
      <c r="L56" s="77">
        <v>10</v>
      </c>
      <c r="M56" s="205">
        <f t="shared" si="5"/>
        <v>27</v>
      </c>
      <c r="P56" s="210"/>
    </row>
    <row r="57" spans="2:16">
      <c r="B57" s="76" t="s">
        <v>266</v>
      </c>
      <c r="C57" s="76"/>
      <c r="D57" s="76"/>
      <c r="E57" s="76"/>
      <c r="F57" s="76"/>
      <c r="G57" s="77">
        <v>1</v>
      </c>
      <c r="H57" s="77">
        <v>0</v>
      </c>
      <c r="I57" s="77">
        <v>3</v>
      </c>
      <c r="J57" s="77">
        <v>0</v>
      </c>
      <c r="K57" s="77">
        <v>5</v>
      </c>
      <c r="L57" s="77">
        <v>2</v>
      </c>
      <c r="M57" s="205">
        <f t="shared" si="5"/>
        <v>11</v>
      </c>
    </row>
    <row r="58" spans="2:16">
      <c r="B58" s="76" t="s">
        <v>267</v>
      </c>
      <c r="C58" s="76"/>
      <c r="D58" s="76"/>
      <c r="E58" s="76"/>
      <c r="F58" s="76"/>
      <c r="G58" s="77">
        <v>4</v>
      </c>
      <c r="H58" s="77">
        <v>0</v>
      </c>
      <c r="I58" s="77">
        <v>4</v>
      </c>
      <c r="J58" s="77">
        <v>0</v>
      </c>
      <c r="K58" s="77">
        <v>0</v>
      </c>
      <c r="L58" s="77">
        <v>1</v>
      </c>
      <c r="M58" s="205">
        <f t="shared" si="5"/>
        <v>9</v>
      </c>
    </row>
    <row r="59" spans="2:16">
      <c r="B59" s="76" t="s">
        <v>268</v>
      </c>
      <c r="C59" s="76"/>
      <c r="D59" s="76"/>
      <c r="E59" s="76"/>
      <c r="F59" s="76"/>
      <c r="G59" s="206">
        <v>3</v>
      </c>
      <c r="H59" s="206">
        <v>0</v>
      </c>
      <c r="I59" s="206">
        <v>2</v>
      </c>
      <c r="J59" s="206"/>
      <c r="K59" s="206">
        <v>4</v>
      </c>
      <c r="L59" s="206">
        <v>2</v>
      </c>
      <c r="M59" s="207">
        <f t="shared" si="5"/>
        <v>11</v>
      </c>
    </row>
    <row r="60" spans="2:16">
      <c r="B60" s="76"/>
      <c r="C60" s="76"/>
      <c r="D60" s="76"/>
      <c r="E60" s="76"/>
      <c r="F60" s="76"/>
      <c r="G60" s="208">
        <f t="shared" ref="G60:L60" si="6">SUM(G51:G59)</f>
        <v>58</v>
      </c>
      <c r="H60" s="208">
        <f t="shared" si="6"/>
        <v>6</v>
      </c>
      <c r="I60" s="208">
        <f t="shared" si="6"/>
        <v>54</v>
      </c>
      <c r="J60" s="208">
        <f t="shared" si="6"/>
        <v>6</v>
      </c>
      <c r="K60" s="208">
        <f t="shared" si="6"/>
        <v>61</v>
      </c>
      <c r="L60" s="208">
        <f t="shared" si="6"/>
        <v>39</v>
      </c>
      <c r="M60" s="208">
        <f>SUM(M51:M59)</f>
        <v>224</v>
      </c>
    </row>
    <row r="62" spans="2:16">
      <c r="B62" s="27"/>
      <c r="C62" s="27"/>
      <c r="D62" s="74"/>
      <c r="E62" s="74"/>
      <c r="F62" s="74"/>
      <c r="G62" s="74"/>
      <c r="H62" s="27"/>
      <c r="I62" s="27"/>
      <c r="J62" s="74"/>
      <c r="K62" s="74"/>
      <c r="L62" s="74"/>
      <c r="M62" s="74" t="s">
        <v>269</v>
      </c>
    </row>
    <row r="63" spans="2:16">
      <c r="B63" s="81"/>
      <c r="C63" s="81"/>
      <c r="D63" s="81"/>
      <c r="E63" s="81"/>
      <c r="F63" s="81"/>
      <c r="G63" s="81" t="s">
        <v>181</v>
      </c>
      <c r="H63" s="81" t="s">
        <v>184</v>
      </c>
      <c r="I63" s="81" t="s">
        <v>183</v>
      </c>
      <c r="J63" s="81" t="s">
        <v>185</v>
      </c>
      <c r="K63" s="81" t="s">
        <v>186</v>
      </c>
      <c r="L63" s="81" t="s">
        <v>198</v>
      </c>
      <c r="M63" s="81" t="s">
        <v>234</v>
      </c>
    </row>
    <row r="64" spans="2:16">
      <c r="B64" s="76" t="s">
        <v>263</v>
      </c>
      <c r="C64" s="76"/>
      <c r="D64" s="76" t="s">
        <v>271</v>
      </c>
      <c r="E64" s="76"/>
      <c r="F64" s="76"/>
      <c r="G64" s="77">
        <f>$D37/G51</f>
        <v>1263873.2</v>
      </c>
      <c r="H64" s="77">
        <f t="shared" ref="H64:L64" si="7">$D37/H51</f>
        <v>1053227.6666666667</v>
      </c>
      <c r="I64" s="77">
        <v>0</v>
      </c>
      <c r="J64" s="77">
        <f t="shared" si="7"/>
        <v>1053227.6666666667</v>
      </c>
      <c r="K64" s="77">
        <f t="shared" si="7"/>
        <v>180553.3142857143</v>
      </c>
      <c r="L64" s="77">
        <f t="shared" si="7"/>
        <v>1053227.6666666667</v>
      </c>
      <c r="M64" s="205">
        <v>0</v>
      </c>
    </row>
    <row r="65" spans="2:13">
      <c r="B65" s="76" t="s">
        <v>23</v>
      </c>
      <c r="C65" s="76"/>
      <c r="D65" s="76" t="s">
        <v>272</v>
      </c>
      <c r="E65" s="76"/>
      <c r="F65" s="76"/>
      <c r="G65" s="209">
        <f>$D40/G52</f>
        <v>111504.6</v>
      </c>
      <c r="H65" s="209">
        <v>0</v>
      </c>
      <c r="I65" s="209">
        <f t="shared" ref="I65:L65" si="8">$D40/I52</f>
        <v>185841</v>
      </c>
      <c r="J65" s="209">
        <v>0</v>
      </c>
      <c r="K65" s="209">
        <f t="shared" si="8"/>
        <v>55752.3</v>
      </c>
      <c r="L65" s="209">
        <f t="shared" si="8"/>
        <v>69690.375</v>
      </c>
      <c r="M65" s="205">
        <f t="shared" ref="M65:M72" si="9">SUM(G65:L65)</f>
        <v>422788.27499999997</v>
      </c>
    </row>
    <row r="66" spans="2:13">
      <c r="B66" s="76" t="s">
        <v>64</v>
      </c>
      <c r="C66" s="76"/>
      <c r="D66" s="76" t="s">
        <v>272</v>
      </c>
      <c r="E66" s="76"/>
      <c r="F66" s="76"/>
      <c r="G66" s="211"/>
      <c r="H66" s="211"/>
      <c r="I66" s="211"/>
      <c r="J66" s="211"/>
      <c r="K66" s="211"/>
      <c r="L66" s="211"/>
      <c r="M66" s="205">
        <f t="shared" si="9"/>
        <v>0</v>
      </c>
    </row>
    <row r="67" spans="2:13">
      <c r="B67" s="76" t="s">
        <v>26</v>
      </c>
      <c r="C67" s="76"/>
      <c r="D67" s="76" t="s">
        <v>272</v>
      </c>
      <c r="E67" s="76"/>
      <c r="F67" s="76"/>
      <c r="G67" s="209">
        <f>$D41/G53</f>
        <v>68281.888888888891</v>
      </c>
      <c r="H67" s="209">
        <v>0</v>
      </c>
      <c r="I67" s="209">
        <f t="shared" ref="I67:L67" si="10">$D41/I53</f>
        <v>87791</v>
      </c>
      <c r="J67" s="209">
        <v>0</v>
      </c>
      <c r="K67" s="209">
        <f t="shared" si="10"/>
        <v>307268.5</v>
      </c>
      <c r="L67" s="209">
        <f t="shared" si="10"/>
        <v>153634.25</v>
      </c>
      <c r="M67" s="205">
        <f t="shared" si="9"/>
        <v>616975.63888888888</v>
      </c>
    </row>
    <row r="68" spans="2:13">
      <c r="B68" s="76" t="s">
        <v>264</v>
      </c>
      <c r="C68" s="76"/>
      <c r="D68" s="76" t="s">
        <v>272</v>
      </c>
      <c r="E68" s="76"/>
      <c r="F68" s="76"/>
      <c r="G68" s="209">
        <f>$D42/G54</f>
        <v>4211</v>
      </c>
      <c r="H68" s="209">
        <v>0</v>
      </c>
      <c r="I68" s="209">
        <f t="shared" ref="I68:L68" si="11">$D42/I54</f>
        <v>842.2</v>
      </c>
      <c r="J68" s="209">
        <v>0</v>
      </c>
      <c r="K68" s="209">
        <f t="shared" si="11"/>
        <v>10527.5</v>
      </c>
      <c r="L68" s="209">
        <f t="shared" si="11"/>
        <v>10527.5</v>
      </c>
      <c r="M68" s="205">
        <f t="shared" si="9"/>
        <v>26108.2</v>
      </c>
    </row>
    <row r="69" spans="2:13">
      <c r="B69" s="76" t="s">
        <v>265</v>
      </c>
      <c r="C69" s="76"/>
      <c r="D69" s="76" t="s">
        <v>272</v>
      </c>
      <c r="E69" s="76"/>
      <c r="F69" s="76"/>
      <c r="G69" s="209">
        <f>$D43/G55</f>
        <v>3647.6875</v>
      </c>
      <c r="H69" s="209">
        <v>0</v>
      </c>
      <c r="I69" s="209">
        <f t="shared" ref="I69:L69" si="12">$D43/I55</f>
        <v>11672.6</v>
      </c>
      <c r="J69" s="209">
        <v>0</v>
      </c>
      <c r="K69" s="209">
        <f t="shared" si="12"/>
        <v>58363</v>
      </c>
      <c r="L69" s="209">
        <f t="shared" si="12"/>
        <v>14590.75</v>
      </c>
      <c r="M69" s="205">
        <f t="shared" si="9"/>
        <v>88274.037500000006</v>
      </c>
    </row>
    <row r="70" spans="2:13">
      <c r="B70" s="76" t="s">
        <v>266</v>
      </c>
      <c r="C70" s="76"/>
      <c r="D70" s="76" t="s">
        <v>272</v>
      </c>
      <c r="E70" s="76"/>
      <c r="F70" s="76"/>
      <c r="G70" s="209">
        <f>$D44/G56</f>
        <v>10995</v>
      </c>
      <c r="H70" s="209">
        <v>0</v>
      </c>
      <c r="I70" s="209">
        <f t="shared" ref="I70:L70" si="13">$D44/I56</f>
        <v>21990</v>
      </c>
      <c r="J70" s="209">
        <v>0</v>
      </c>
      <c r="K70" s="209">
        <f t="shared" si="13"/>
        <v>54975</v>
      </c>
      <c r="L70" s="209">
        <f t="shared" si="13"/>
        <v>10995</v>
      </c>
      <c r="M70" s="205">
        <f t="shared" si="9"/>
        <v>98955</v>
      </c>
    </row>
    <row r="71" spans="2:13">
      <c r="B71" s="76" t="s">
        <v>267</v>
      </c>
      <c r="C71" s="76"/>
      <c r="D71" s="76" t="s">
        <v>272</v>
      </c>
      <c r="E71" s="76"/>
      <c r="F71" s="76"/>
      <c r="G71" s="209">
        <f>$D45/G57</f>
        <v>132255</v>
      </c>
      <c r="H71" s="209">
        <v>0</v>
      </c>
      <c r="I71" s="209">
        <f t="shared" ref="I71:L71" si="14">$D45/I57</f>
        <v>44085</v>
      </c>
      <c r="J71" s="209">
        <v>0</v>
      </c>
      <c r="K71" s="209">
        <f t="shared" si="14"/>
        <v>26451</v>
      </c>
      <c r="L71" s="209">
        <f t="shared" si="14"/>
        <v>66127.5</v>
      </c>
      <c r="M71" s="205">
        <f>SUM(G71:L71)</f>
        <v>268918.5</v>
      </c>
    </row>
    <row r="72" spans="2:13">
      <c r="B72" s="76" t="s">
        <v>268</v>
      </c>
      <c r="C72" s="76"/>
      <c r="D72" s="76" t="s">
        <v>272</v>
      </c>
      <c r="E72" s="76"/>
      <c r="F72" s="76"/>
      <c r="G72" s="206">
        <f t="shared" ref="G72:L72" si="15">$F47*10^6/G59/300</f>
        <v>0</v>
      </c>
      <c r="H72" s="206">
        <v>0</v>
      </c>
      <c r="I72" s="206">
        <f t="shared" si="15"/>
        <v>0</v>
      </c>
      <c r="J72" s="206">
        <v>0</v>
      </c>
      <c r="K72" s="206">
        <f t="shared" si="15"/>
        <v>0</v>
      </c>
      <c r="L72" s="206">
        <f t="shared" si="15"/>
        <v>0</v>
      </c>
      <c r="M72" s="207">
        <f t="shared" si="9"/>
        <v>0</v>
      </c>
    </row>
    <row r="73" spans="2:13">
      <c r="B73" s="76"/>
      <c r="C73" s="76"/>
      <c r="D73" s="76"/>
      <c r="E73" s="76"/>
      <c r="F73" s="76"/>
      <c r="G73" s="208">
        <f t="shared" ref="G73:L73" si="16">SUM(G64:G72)</f>
        <v>1594768.376388889</v>
      </c>
      <c r="H73" s="208">
        <f t="shared" si="16"/>
        <v>1053227.6666666667</v>
      </c>
      <c r="I73" s="208">
        <f t="shared" si="16"/>
        <v>352221.8</v>
      </c>
      <c r="J73" s="208">
        <f t="shared" si="16"/>
        <v>1053227.6666666667</v>
      </c>
      <c r="K73" s="208">
        <f t="shared" si="16"/>
        <v>693890.61428571423</v>
      </c>
      <c r="L73" s="208">
        <f t="shared" si="16"/>
        <v>1378793.0416666667</v>
      </c>
      <c r="M73" s="208">
        <f>SUM(M64:M72)</f>
        <v>1522019.6513888889</v>
      </c>
    </row>
    <row r="75" spans="2:13">
      <c r="B75" s="27" t="s">
        <v>743</v>
      </c>
      <c r="C75" s="27"/>
      <c r="D75" s="27"/>
      <c r="E75" s="253" t="s">
        <v>764</v>
      </c>
    </row>
    <row r="76" spans="2:13">
      <c r="B76" s="81"/>
      <c r="C76" s="81"/>
      <c r="D76" s="81" t="s">
        <v>744</v>
      </c>
      <c r="E76" s="81" t="s">
        <v>765</v>
      </c>
    </row>
    <row r="77" spans="2:13">
      <c r="B77" s="76" t="s">
        <v>263</v>
      </c>
      <c r="C77" s="76"/>
    </row>
    <row r="78" spans="2:13">
      <c r="B78" s="76" t="s">
        <v>747</v>
      </c>
      <c r="C78" s="76"/>
      <c r="D78" s="25">
        <f>COUNTIF('Medic Equipment'!$E$5:$E$31,'Medic Equipment'!E5)</f>
        <v>3</v>
      </c>
      <c r="E78" s="210">
        <f>$D$37/D78</f>
        <v>2106455.3333333335</v>
      </c>
      <c r="F78" s="107"/>
      <c r="G78" s="210"/>
      <c r="H78" s="210"/>
      <c r="I78" s="210"/>
      <c r="J78" s="210"/>
      <c r="K78" s="210"/>
    </row>
    <row r="79" spans="2:13">
      <c r="B79" s="76" t="s">
        <v>746</v>
      </c>
      <c r="C79" s="76"/>
      <c r="D79" s="25">
        <f>COUNTIF('Medic Equipment'!$E$5:$E$31,'Medic Equipment'!E8)</f>
        <v>8</v>
      </c>
      <c r="E79" s="210">
        <f t="shared" ref="E79:E81" si="17">$D$37/D79</f>
        <v>789920.75</v>
      </c>
      <c r="F79" s="107"/>
    </row>
    <row r="80" spans="2:13">
      <c r="B80" s="76" t="s">
        <v>748</v>
      </c>
      <c r="C80" s="76"/>
      <c r="D80" s="25">
        <f>COUNTIF('Medic Equipment'!$E$5:$E$31,'Medic Equipment'!E8)</f>
        <v>8</v>
      </c>
      <c r="E80" s="210">
        <f t="shared" si="17"/>
        <v>789920.75</v>
      </c>
      <c r="F80" s="107"/>
    </row>
    <row r="81" spans="2:6">
      <c r="B81" s="76" t="s">
        <v>749</v>
      </c>
      <c r="C81" s="76"/>
      <c r="D81" s="25">
        <f>COUNTIF('Medic Equipment'!$E$5:$E$31,'Medic Equipment'!E11)</f>
        <v>4</v>
      </c>
      <c r="E81" s="210">
        <f t="shared" si="17"/>
        <v>1579841.5</v>
      </c>
      <c r="F81" s="107"/>
    </row>
    <row r="82" spans="2:6">
      <c r="B82" s="76"/>
      <c r="C82" s="76"/>
    </row>
    <row r="83" spans="2:6">
      <c r="B83" s="76" t="s">
        <v>23</v>
      </c>
      <c r="C83" s="76"/>
      <c r="D83" s="25">
        <f>COUNTIF('Medic Equipment'!$J$5:$J$34,'Medic Equipment'!J9)</f>
        <v>10</v>
      </c>
      <c r="E83" s="210">
        <f>$D40/D83</f>
        <v>55752.3</v>
      </c>
    </row>
    <row r="84" spans="2:6">
      <c r="B84" s="76" t="s">
        <v>64</v>
      </c>
      <c r="C84" s="76"/>
      <c r="D84" s="25">
        <f>SUM('List of equipment'!AA403:AA406)</f>
        <v>14</v>
      </c>
    </row>
    <row r="85" spans="2:6">
      <c r="B85" s="76" t="s">
        <v>26</v>
      </c>
      <c r="C85" s="76"/>
      <c r="D85" s="25">
        <f>COUNTIF('Medic Equipment'!$J$5:$J$34,'Medic Equipment'!J23)</f>
        <v>11</v>
      </c>
      <c r="E85" s="210">
        <f>$D41/D86</f>
        <v>153634.25</v>
      </c>
    </row>
    <row r="86" spans="2:6">
      <c r="B86" s="76" t="s">
        <v>75</v>
      </c>
      <c r="C86" s="76"/>
      <c r="D86" s="25">
        <f>COUNTIF('Medic Equipment'!$J$5:$J$34,'Medic Equipment'!J7)</f>
        <v>4</v>
      </c>
      <c r="E86" s="210">
        <f>($D42*0.7)/D86</f>
        <v>3684.6249999999995</v>
      </c>
    </row>
    <row r="87" spans="2:6">
      <c r="B87" s="76" t="s">
        <v>51</v>
      </c>
      <c r="C87" s="76"/>
      <c r="D87" s="25">
        <f>COUNTIF('Medic Equipment'!$J$5:$J$34,'Medic Equipment'!J31)</f>
        <v>4</v>
      </c>
      <c r="E87" s="210">
        <f>($D42*0.3)/D87</f>
        <v>1579.125</v>
      </c>
    </row>
    <row r="88" spans="2:6">
      <c r="B88" s="76" t="s">
        <v>745</v>
      </c>
      <c r="C88" s="76"/>
      <c r="D88" s="25">
        <f>COUNTIF('Medic Equipment'!$J$5:$J$34,'Medic Equipment'!J34)</f>
        <v>1</v>
      </c>
      <c r="E88" s="210"/>
    </row>
    <row r="89" spans="2:6">
      <c r="B89" s="76"/>
      <c r="C89" s="76"/>
      <c r="E89" s="210"/>
    </row>
    <row r="90" spans="2:6">
      <c r="B90" s="76"/>
      <c r="C90" s="76"/>
    </row>
    <row r="91" spans="2:6">
      <c r="B91" s="76"/>
      <c r="C91" s="76"/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AO207"/>
  <sheetViews>
    <sheetView zoomScale="80" zoomScaleNormal="80" workbookViewId="0">
      <selection activeCell="L26" sqref="L26"/>
    </sheetView>
  </sheetViews>
  <sheetFormatPr defaultRowHeight="15"/>
  <cols>
    <col min="2" max="2" width="33.5703125" customWidth="1"/>
    <col min="4" max="4" width="10" bestFit="1" customWidth="1"/>
    <col min="5" max="5" width="10" style="144" customWidth="1"/>
    <col min="6" max="6" width="12.42578125" bestFit="1" customWidth="1"/>
  </cols>
  <sheetData>
    <row r="1" spans="1:41">
      <c r="A1" s="20"/>
      <c r="B1" s="20"/>
      <c r="C1" s="20"/>
      <c r="D1" s="20"/>
      <c r="E1" s="128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129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</row>
    <row r="2" spans="1:41" ht="19.5">
      <c r="A2" s="20"/>
      <c r="B2" s="1" t="s">
        <v>157</v>
      </c>
      <c r="C2" s="1"/>
      <c r="D2" s="1"/>
      <c r="E2" s="130"/>
      <c r="F2" s="1"/>
      <c r="G2" s="2"/>
      <c r="H2" s="2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129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</row>
    <row r="3" spans="1:41">
      <c r="A3" s="20"/>
      <c r="B3" s="3" t="s">
        <v>158</v>
      </c>
      <c r="C3" s="3"/>
      <c r="D3" s="3"/>
      <c r="E3" s="130"/>
      <c r="F3" s="3"/>
      <c r="G3" s="2"/>
      <c r="H3" s="2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129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</row>
    <row r="4" spans="1:41">
      <c r="A4" s="20"/>
      <c r="B4" s="20"/>
      <c r="C4" s="20"/>
      <c r="D4" s="20"/>
      <c r="E4" s="128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129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</row>
    <row r="5" spans="1:41" ht="15.75">
      <c r="A5" s="20"/>
      <c r="B5" s="17" t="s">
        <v>159</v>
      </c>
      <c r="C5" s="17"/>
      <c r="D5" s="17"/>
      <c r="E5" s="131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 t="s">
        <v>160</v>
      </c>
      <c r="T5" s="17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</row>
    <row r="6" spans="1:41">
      <c r="A6" s="20"/>
      <c r="B6" s="132" t="s">
        <v>161</v>
      </c>
      <c r="C6" s="132" t="s">
        <v>162</v>
      </c>
      <c r="D6" s="132" t="s">
        <v>163</v>
      </c>
      <c r="E6" s="132" t="s">
        <v>34</v>
      </c>
      <c r="F6" s="132" t="s">
        <v>164</v>
      </c>
      <c r="G6" s="132" t="s">
        <v>165</v>
      </c>
      <c r="H6" s="133">
        <v>41456</v>
      </c>
      <c r="I6" s="133">
        <v>41487</v>
      </c>
      <c r="J6" s="133">
        <v>41518</v>
      </c>
      <c r="K6" s="133">
        <v>41548</v>
      </c>
      <c r="L6" s="133">
        <v>41579</v>
      </c>
      <c r="M6" s="133">
        <v>41609</v>
      </c>
      <c r="N6" s="133">
        <v>41640</v>
      </c>
      <c r="O6" s="133">
        <v>41671</v>
      </c>
      <c r="P6" s="133">
        <v>41699</v>
      </c>
      <c r="Q6" s="133">
        <v>41730</v>
      </c>
      <c r="R6" s="133">
        <v>41760</v>
      </c>
      <c r="S6" s="133">
        <v>41791</v>
      </c>
      <c r="T6" s="134" t="s">
        <v>20</v>
      </c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</row>
    <row r="7" spans="1:41" s="20" customFormat="1">
      <c r="A7" s="129">
        <v>1</v>
      </c>
      <c r="B7" s="129" t="s">
        <v>166</v>
      </c>
      <c r="E7" s="49"/>
    </row>
    <row r="8" spans="1:41" s="20" customFormat="1">
      <c r="B8" s="20" t="s">
        <v>167</v>
      </c>
      <c r="C8" s="20" t="s">
        <v>168</v>
      </c>
      <c r="D8" s="20">
        <v>1</v>
      </c>
      <c r="E8" s="49"/>
    </row>
    <row r="9" spans="1:41" s="20" customFormat="1">
      <c r="B9" s="20" t="s">
        <v>169</v>
      </c>
      <c r="C9" s="20" t="s">
        <v>168</v>
      </c>
      <c r="D9" s="20">
        <v>1</v>
      </c>
      <c r="E9" s="49"/>
    </row>
    <row r="10" spans="1:41" s="20" customFormat="1">
      <c r="B10" s="20" t="s">
        <v>170</v>
      </c>
      <c r="C10" s="20" t="s">
        <v>168</v>
      </c>
      <c r="D10" s="20">
        <v>1</v>
      </c>
      <c r="E10" s="49"/>
    </row>
    <row r="11" spans="1:41" s="20" customFormat="1">
      <c r="B11" s="20" t="s">
        <v>171</v>
      </c>
      <c r="C11" s="20" t="s">
        <v>168</v>
      </c>
      <c r="D11" s="20">
        <v>1</v>
      </c>
      <c r="E11" s="49"/>
    </row>
    <row r="12" spans="1:41" s="20" customFormat="1" ht="7.5" customHeight="1">
      <c r="E12" s="49"/>
    </row>
    <row r="13" spans="1:41" s="20" customFormat="1">
      <c r="A13" s="129">
        <v>2</v>
      </c>
      <c r="B13" s="129" t="s">
        <v>172</v>
      </c>
      <c r="E13" s="49"/>
    </row>
    <row r="14" spans="1:41" s="20" customFormat="1">
      <c r="B14" s="135" t="s">
        <v>173</v>
      </c>
      <c r="E14" s="49"/>
    </row>
    <row r="15" spans="1:41" s="20" customFormat="1">
      <c r="B15" s="20" t="s">
        <v>174</v>
      </c>
      <c r="C15" s="20" t="s">
        <v>168</v>
      </c>
      <c r="D15" s="20">
        <v>1</v>
      </c>
      <c r="E15" s="49"/>
    </row>
    <row r="16" spans="1:41" s="20" customFormat="1">
      <c r="B16" s="20" t="s">
        <v>175</v>
      </c>
      <c r="C16" s="20" t="s">
        <v>168</v>
      </c>
      <c r="D16" s="20">
        <v>3</v>
      </c>
      <c r="E16" s="49"/>
    </row>
    <row r="17" spans="1:5" s="20" customFormat="1" ht="7.5" customHeight="1">
      <c r="E17" s="49"/>
    </row>
    <row r="18" spans="1:5" s="20" customFormat="1">
      <c r="B18" s="135" t="s">
        <v>176</v>
      </c>
      <c r="E18" s="49"/>
    </row>
    <row r="19" spans="1:5" s="20" customFormat="1">
      <c r="B19" s="20" t="s">
        <v>177</v>
      </c>
      <c r="C19" s="20" t="s">
        <v>168</v>
      </c>
      <c r="D19" s="20">
        <v>1</v>
      </c>
      <c r="E19" s="49"/>
    </row>
    <row r="20" spans="1:5" s="20" customFormat="1">
      <c r="B20" s="20" t="s">
        <v>178</v>
      </c>
      <c r="C20" s="20" t="s">
        <v>168</v>
      </c>
      <c r="D20" s="20">
        <v>2</v>
      </c>
      <c r="E20" s="49"/>
    </row>
    <row r="21" spans="1:5" s="20" customFormat="1" ht="7.5" customHeight="1">
      <c r="E21" s="49"/>
    </row>
    <row r="22" spans="1:5" s="20" customFormat="1">
      <c r="A22" s="129">
        <v>3</v>
      </c>
      <c r="B22" s="129" t="s">
        <v>179</v>
      </c>
      <c r="E22" s="49"/>
    </row>
    <row r="23" spans="1:5" s="20" customFormat="1">
      <c r="A23" s="129"/>
      <c r="B23" s="129" t="s">
        <v>19</v>
      </c>
      <c r="E23" s="49"/>
    </row>
    <row r="24" spans="1:5" s="20" customFormat="1">
      <c r="A24" s="129"/>
      <c r="B24" s="136" t="s">
        <v>180</v>
      </c>
      <c r="C24" s="20" t="s">
        <v>168</v>
      </c>
      <c r="E24" s="49"/>
    </row>
    <row r="25" spans="1:5" s="20" customFormat="1">
      <c r="A25" s="129"/>
      <c r="B25" s="136" t="s">
        <v>181</v>
      </c>
      <c r="C25" s="20" t="s">
        <v>168</v>
      </c>
      <c r="E25" s="49"/>
    </row>
    <row r="26" spans="1:5" s="20" customFormat="1">
      <c r="A26" s="129"/>
      <c r="B26" s="136" t="s">
        <v>181</v>
      </c>
      <c r="C26" s="20" t="s">
        <v>182</v>
      </c>
      <c r="E26" s="49"/>
    </row>
    <row r="27" spans="1:5" s="20" customFormat="1">
      <c r="A27" s="129"/>
      <c r="B27" s="136" t="s">
        <v>183</v>
      </c>
      <c r="E27" s="49"/>
    </row>
    <row r="28" spans="1:5" s="20" customFormat="1" ht="7.5" customHeight="1">
      <c r="E28" s="49"/>
    </row>
    <row r="29" spans="1:5" s="20" customFormat="1">
      <c r="A29" s="129"/>
      <c r="B29" s="129" t="s">
        <v>16</v>
      </c>
      <c r="E29" s="49"/>
    </row>
    <row r="30" spans="1:5" s="20" customFormat="1">
      <c r="A30" s="129"/>
      <c r="B30" s="136" t="s">
        <v>180</v>
      </c>
      <c r="C30" s="20" t="s">
        <v>168</v>
      </c>
      <c r="E30" s="49">
        <v>1</v>
      </c>
    </row>
    <row r="31" spans="1:5" s="20" customFormat="1">
      <c r="A31" s="129"/>
      <c r="B31" s="136" t="s">
        <v>181</v>
      </c>
      <c r="C31" s="20" t="s">
        <v>168</v>
      </c>
      <c r="E31" s="49">
        <v>4</v>
      </c>
    </row>
    <row r="32" spans="1:5" s="20" customFormat="1">
      <c r="A32" s="129"/>
      <c r="B32" s="136" t="s">
        <v>181</v>
      </c>
      <c r="C32" s="20" t="s">
        <v>182</v>
      </c>
      <c r="E32" s="49"/>
    </row>
    <row r="33" spans="1:5" s="20" customFormat="1">
      <c r="A33" s="129"/>
      <c r="B33" s="20" t="s">
        <v>184</v>
      </c>
      <c r="C33" s="20" t="s">
        <v>168</v>
      </c>
      <c r="E33" s="49">
        <v>6</v>
      </c>
    </row>
    <row r="34" spans="1:5" s="20" customFormat="1">
      <c r="A34" s="129"/>
      <c r="B34" s="20" t="s">
        <v>183</v>
      </c>
      <c r="C34" s="20" t="s">
        <v>168</v>
      </c>
      <c r="E34" s="49">
        <v>0</v>
      </c>
    </row>
    <row r="35" spans="1:5" s="20" customFormat="1">
      <c r="A35" s="129"/>
      <c r="B35" s="20" t="s">
        <v>185</v>
      </c>
      <c r="C35" s="20" t="s">
        <v>168</v>
      </c>
      <c r="E35" s="49">
        <v>6</v>
      </c>
    </row>
    <row r="36" spans="1:5" s="20" customFormat="1">
      <c r="A36" s="129"/>
      <c r="B36" s="20" t="s">
        <v>186</v>
      </c>
      <c r="C36" s="20" t="s">
        <v>168</v>
      </c>
      <c r="E36" s="49">
        <v>35</v>
      </c>
    </row>
    <row r="37" spans="1:5" s="20" customFormat="1">
      <c r="A37" s="129"/>
      <c r="B37" s="20" t="s">
        <v>18</v>
      </c>
      <c r="C37" s="20" t="s">
        <v>168</v>
      </c>
      <c r="E37" s="49">
        <v>6</v>
      </c>
    </row>
    <row r="38" spans="1:5" s="20" customFormat="1" ht="7.5" customHeight="1">
      <c r="E38" s="49"/>
    </row>
    <row r="39" spans="1:5" s="20" customFormat="1">
      <c r="A39" s="129"/>
      <c r="B39" s="129" t="s">
        <v>187</v>
      </c>
      <c r="E39" s="49"/>
    </row>
    <row r="40" spans="1:5" s="20" customFormat="1">
      <c r="A40" s="129"/>
      <c r="B40" s="135" t="s">
        <v>188</v>
      </c>
      <c r="E40" s="49"/>
    </row>
    <row r="41" spans="1:5" s="20" customFormat="1">
      <c r="A41" s="129"/>
      <c r="B41" s="136" t="s">
        <v>181</v>
      </c>
      <c r="C41" s="20" t="s">
        <v>168</v>
      </c>
      <c r="E41" s="49">
        <v>5</v>
      </c>
    </row>
    <row r="42" spans="1:5" s="20" customFormat="1">
      <c r="A42" s="129"/>
      <c r="B42" s="136" t="s">
        <v>181</v>
      </c>
      <c r="C42" s="20" t="s">
        <v>182</v>
      </c>
      <c r="E42" s="49" t="s">
        <v>189</v>
      </c>
    </row>
    <row r="43" spans="1:5" s="20" customFormat="1">
      <c r="A43" s="129"/>
      <c r="B43" s="20" t="s">
        <v>183</v>
      </c>
      <c r="C43" s="20" t="s">
        <v>168</v>
      </c>
      <c r="E43" s="49">
        <v>3</v>
      </c>
    </row>
    <row r="44" spans="1:5" s="20" customFormat="1">
      <c r="A44" s="129"/>
      <c r="B44" s="20" t="s">
        <v>186</v>
      </c>
      <c r="C44" s="20" t="s">
        <v>168</v>
      </c>
      <c r="E44" s="49">
        <v>10</v>
      </c>
    </row>
    <row r="45" spans="1:5" s="20" customFormat="1">
      <c r="A45" s="129"/>
      <c r="B45" s="20" t="s">
        <v>18</v>
      </c>
      <c r="C45" s="20" t="s">
        <v>168</v>
      </c>
      <c r="E45" s="49">
        <v>8</v>
      </c>
    </row>
    <row r="46" spans="1:5" s="20" customFormat="1">
      <c r="A46" s="129"/>
      <c r="B46" s="135" t="s">
        <v>26</v>
      </c>
      <c r="E46" s="49"/>
    </row>
    <row r="47" spans="1:5" s="20" customFormat="1">
      <c r="A47" s="129"/>
      <c r="B47" s="136" t="s">
        <v>181</v>
      </c>
      <c r="C47" s="20" t="s">
        <v>168</v>
      </c>
      <c r="E47" s="49">
        <v>5</v>
      </c>
    </row>
    <row r="48" spans="1:5" s="20" customFormat="1">
      <c r="A48" s="129"/>
      <c r="B48" s="136" t="s">
        <v>181</v>
      </c>
      <c r="C48" s="20" t="s">
        <v>182</v>
      </c>
      <c r="E48" s="49" t="s">
        <v>189</v>
      </c>
    </row>
    <row r="49" spans="1:5" s="20" customFormat="1">
      <c r="A49" s="129"/>
      <c r="B49" s="20" t="s">
        <v>183</v>
      </c>
      <c r="C49" s="20" t="s">
        <v>168</v>
      </c>
      <c r="E49" s="49">
        <v>25</v>
      </c>
    </row>
    <row r="50" spans="1:5" s="20" customFormat="1">
      <c r="A50" s="129"/>
      <c r="B50" s="20" t="s">
        <v>186</v>
      </c>
      <c r="C50" s="20" t="s">
        <v>168</v>
      </c>
      <c r="E50" s="49">
        <v>2</v>
      </c>
    </row>
    <row r="51" spans="1:5" s="20" customFormat="1">
      <c r="A51" s="129"/>
      <c r="B51" s="20" t="s">
        <v>18</v>
      </c>
      <c r="C51" s="20" t="s">
        <v>168</v>
      </c>
      <c r="E51" s="49">
        <v>2</v>
      </c>
    </row>
    <row r="52" spans="1:5" s="20" customFormat="1">
      <c r="A52" s="129"/>
      <c r="B52" s="135" t="s">
        <v>64</v>
      </c>
      <c r="E52" s="49"/>
    </row>
    <row r="53" spans="1:5" s="20" customFormat="1">
      <c r="A53" s="129"/>
      <c r="B53" s="136" t="s">
        <v>181</v>
      </c>
      <c r="C53" s="20" t="s">
        <v>168</v>
      </c>
      <c r="E53" s="49">
        <v>9</v>
      </c>
    </row>
    <row r="54" spans="1:5" s="20" customFormat="1">
      <c r="A54" s="129"/>
      <c r="B54" s="136" t="s">
        <v>181</v>
      </c>
      <c r="C54" s="20" t="s">
        <v>182</v>
      </c>
      <c r="E54" s="49" t="s">
        <v>189</v>
      </c>
    </row>
    <row r="55" spans="1:5" s="20" customFormat="1">
      <c r="A55" s="129"/>
      <c r="B55" s="20" t="s">
        <v>183</v>
      </c>
      <c r="C55" s="20" t="s">
        <v>168</v>
      </c>
      <c r="E55" s="49">
        <v>7</v>
      </c>
    </row>
    <row r="56" spans="1:5" s="20" customFormat="1">
      <c r="A56" s="129"/>
      <c r="B56" s="20" t="s">
        <v>186</v>
      </c>
      <c r="C56" s="20" t="s">
        <v>168</v>
      </c>
      <c r="E56" s="49">
        <v>2</v>
      </c>
    </row>
    <row r="57" spans="1:5" s="20" customFormat="1">
      <c r="A57" s="129"/>
      <c r="B57" s="20" t="s">
        <v>18</v>
      </c>
      <c r="C57" s="20" t="s">
        <v>168</v>
      </c>
      <c r="E57" s="49">
        <v>4</v>
      </c>
    </row>
    <row r="58" spans="1:5" s="20" customFormat="1">
      <c r="A58" s="129"/>
      <c r="B58" s="135" t="s">
        <v>190</v>
      </c>
      <c r="E58" s="49"/>
    </row>
    <row r="59" spans="1:5" s="20" customFormat="1">
      <c r="A59" s="129"/>
      <c r="B59" s="136" t="s">
        <v>181</v>
      </c>
      <c r="C59" s="20" t="s">
        <v>168</v>
      </c>
      <c r="E59" s="49">
        <v>16</v>
      </c>
    </row>
    <row r="60" spans="1:5" s="20" customFormat="1">
      <c r="A60" s="129"/>
      <c r="B60" s="136" t="s">
        <v>181</v>
      </c>
      <c r="C60" s="20" t="s">
        <v>182</v>
      </c>
      <c r="E60" s="49"/>
    </row>
    <row r="61" spans="1:5" s="20" customFormat="1">
      <c r="A61" s="129"/>
      <c r="B61" s="20" t="s">
        <v>183</v>
      </c>
      <c r="C61" s="20" t="s">
        <v>168</v>
      </c>
      <c r="E61" s="49">
        <v>5</v>
      </c>
    </row>
    <row r="62" spans="1:5" s="20" customFormat="1">
      <c r="A62" s="129"/>
      <c r="B62" s="20" t="s">
        <v>186</v>
      </c>
      <c r="C62" s="20" t="s">
        <v>168</v>
      </c>
      <c r="E62" s="49">
        <v>1</v>
      </c>
    </row>
    <row r="63" spans="1:5" s="20" customFormat="1">
      <c r="A63" s="129"/>
      <c r="B63" s="20" t="s">
        <v>18</v>
      </c>
      <c r="C63" s="20" t="s">
        <v>168</v>
      </c>
      <c r="E63" s="49">
        <v>4</v>
      </c>
    </row>
    <row r="64" spans="1:5" s="20" customFormat="1">
      <c r="A64" s="129"/>
      <c r="B64" s="135" t="s">
        <v>51</v>
      </c>
      <c r="E64" s="49"/>
    </row>
    <row r="65" spans="1:5" s="20" customFormat="1">
      <c r="A65" s="129"/>
      <c r="B65" s="136" t="s">
        <v>181</v>
      </c>
      <c r="C65" s="20" t="s">
        <v>168</v>
      </c>
      <c r="E65" s="49"/>
    </row>
    <row r="66" spans="1:5" s="20" customFormat="1">
      <c r="A66" s="129"/>
      <c r="B66" s="136" t="s">
        <v>181</v>
      </c>
      <c r="C66" s="20" t="s">
        <v>182</v>
      </c>
      <c r="E66" s="49"/>
    </row>
    <row r="67" spans="1:5" s="20" customFormat="1">
      <c r="A67" s="129"/>
      <c r="B67" s="20" t="s">
        <v>183</v>
      </c>
      <c r="C67" s="20" t="s">
        <v>168</v>
      </c>
      <c r="E67" s="49"/>
    </row>
    <row r="68" spans="1:5" s="20" customFormat="1">
      <c r="A68" s="129"/>
      <c r="B68" s="20" t="s">
        <v>186</v>
      </c>
      <c r="C68" s="20" t="s">
        <v>168</v>
      </c>
      <c r="E68" s="49"/>
    </row>
    <row r="69" spans="1:5" s="20" customFormat="1">
      <c r="A69" s="129"/>
      <c r="B69" s="20" t="s">
        <v>18</v>
      </c>
      <c r="C69" s="20" t="s">
        <v>168</v>
      </c>
      <c r="E69" s="49"/>
    </row>
    <row r="70" spans="1:5" s="20" customFormat="1" ht="7.5" customHeight="1">
      <c r="E70" s="49"/>
    </row>
    <row r="71" spans="1:5" s="20" customFormat="1">
      <c r="A71" s="129">
        <v>4</v>
      </c>
      <c r="B71" s="129" t="s">
        <v>191</v>
      </c>
      <c r="E71" s="49"/>
    </row>
    <row r="72" spans="1:5" s="20" customFormat="1">
      <c r="B72" s="135" t="s">
        <v>192</v>
      </c>
      <c r="E72" s="49"/>
    </row>
    <row r="73" spans="1:5" s="20" customFormat="1">
      <c r="B73" s="137" t="s">
        <v>193</v>
      </c>
      <c r="C73" s="20" t="s">
        <v>168</v>
      </c>
      <c r="E73" s="49"/>
    </row>
    <row r="74" spans="1:5" s="20" customFormat="1">
      <c r="B74" s="137" t="s">
        <v>178</v>
      </c>
      <c r="C74" s="20" t="s">
        <v>168</v>
      </c>
      <c r="E74" s="49"/>
    </row>
    <row r="75" spans="1:5" s="20" customFormat="1">
      <c r="B75" s="137" t="s">
        <v>178</v>
      </c>
      <c r="C75" s="20" t="s">
        <v>182</v>
      </c>
      <c r="E75" s="49"/>
    </row>
    <row r="76" spans="1:5" s="20" customFormat="1">
      <c r="B76" s="135" t="s">
        <v>194</v>
      </c>
      <c r="E76" s="49"/>
    </row>
    <row r="77" spans="1:5" s="20" customFormat="1">
      <c r="B77" s="137" t="s">
        <v>195</v>
      </c>
      <c r="C77" s="20" t="s">
        <v>168</v>
      </c>
      <c r="E77" s="49"/>
    </row>
    <row r="78" spans="1:5" s="20" customFormat="1">
      <c r="B78" s="137" t="s">
        <v>178</v>
      </c>
      <c r="C78" s="20" t="s">
        <v>168</v>
      </c>
      <c r="E78" s="49"/>
    </row>
    <row r="79" spans="1:5" s="20" customFormat="1">
      <c r="B79" s="137" t="s">
        <v>178</v>
      </c>
      <c r="C79" s="20" t="s">
        <v>182</v>
      </c>
      <c r="E79" s="49"/>
    </row>
    <row r="80" spans="1:5" s="20" customFormat="1">
      <c r="B80" s="135" t="s">
        <v>196</v>
      </c>
      <c r="E80" s="49"/>
    </row>
    <row r="81" spans="2:20" s="20" customFormat="1">
      <c r="B81" s="137" t="s">
        <v>197</v>
      </c>
      <c r="C81" s="20" t="s">
        <v>168</v>
      </c>
      <c r="E81" s="49"/>
    </row>
    <row r="82" spans="2:20" s="20" customFormat="1">
      <c r="B82" s="137" t="s">
        <v>178</v>
      </c>
      <c r="C82" s="20" t="s">
        <v>168</v>
      </c>
      <c r="E82" s="49"/>
    </row>
    <row r="83" spans="2:20" s="20" customFormat="1">
      <c r="B83" s="137" t="s">
        <v>178</v>
      </c>
      <c r="C83" s="20" t="s">
        <v>182</v>
      </c>
      <c r="E83" s="49"/>
    </row>
    <row r="84" spans="2:20" s="20" customFormat="1">
      <c r="B84" s="135" t="s">
        <v>198</v>
      </c>
      <c r="E84" s="49"/>
    </row>
    <row r="85" spans="2:20" s="20" customFormat="1">
      <c r="B85" s="137" t="s">
        <v>199</v>
      </c>
      <c r="C85" s="20" t="s">
        <v>168</v>
      </c>
      <c r="E85" s="49"/>
    </row>
    <row r="86" spans="2:20" s="20" customFormat="1">
      <c r="B86" s="137" t="s">
        <v>200</v>
      </c>
      <c r="C86" s="20" t="s">
        <v>182</v>
      </c>
      <c r="E86" s="49"/>
    </row>
    <row r="87" spans="2:20" s="20" customFormat="1">
      <c r="B87" s="137" t="s">
        <v>201</v>
      </c>
      <c r="C87" s="20" t="s">
        <v>168</v>
      </c>
      <c r="E87" s="49"/>
    </row>
    <row r="88" spans="2:20" s="20" customFormat="1">
      <c r="B88" s="137" t="s">
        <v>202</v>
      </c>
      <c r="C88" s="20" t="s">
        <v>182</v>
      </c>
      <c r="E88" s="49"/>
    </row>
    <row r="89" spans="2:20" s="20" customFormat="1">
      <c r="B89" s="137" t="s">
        <v>203</v>
      </c>
      <c r="C89" s="20" t="s">
        <v>182</v>
      </c>
      <c r="E89" s="49"/>
    </row>
    <row r="90" spans="2:20" s="20" customFormat="1">
      <c r="B90" s="137" t="s">
        <v>204</v>
      </c>
      <c r="C90" s="20" t="s">
        <v>182</v>
      </c>
      <c r="E90" s="49"/>
    </row>
    <row r="91" spans="2:20" s="20" customFormat="1">
      <c r="C91" s="138"/>
      <c r="D91" s="138"/>
      <c r="E91" s="139"/>
      <c r="F91" s="138"/>
      <c r="G91" s="138"/>
      <c r="H91" s="138"/>
      <c r="I91" s="138"/>
      <c r="J91" s="138"/>
      <c r="K91" s="138"/>
      <c r="L91" s="138"/>
      <c r="M91" s="138"/>
      <c r="N91" s="138"/>
      <c r="O91" s="138"/>
      <c r="P91" s="138"/>
      <c r="Q91" s="138"/>
      <c r="R91" s="138"/>
      <c r="S91" s="138"/>
      <c r="T91" s="138"/>
    </row>
    <row r="92" spans="2:20" s="20" customFormat="1">
      <c r="B92" s="140"/>
      <c r="C92" s="20" t="e">
        <f>COUNT(FT)/D92</f>
        <v>#DIV/0!</v>
      </c>
      <c r="E92" s="128"/>
    </row>
    <row r="93" spans="2:20" s="20" customFormat="1">
      <c r="C93" s="20" t="s">
        <v>205</v>
      </c>
      <c r="E93" s="128"/>
    </row>
    <row r="94" spans="2:20" s="20" customFormat="1">
      <c r="E94" s="128"/>
    </row>
    <row r="95" spans="2:20" s="20" customFormat="1">
      <c r="E95" s="128"/>
    </row>
    <row r="96" spans="2:20">
      <c r="D96" s="141"/>
      <c r="E96" s="142"/>
    </row>
    <row r="97" spans="4:5">
      <c r="D97" s="141"/>
      <c r="E97" s="142"/>
    </row>
    <row r="98" spans="4:5">
      <c r="D98" s="141"/>
      <c r="E98" s="142"/>
    </row>
    <row r="99" spans="4:5">
      <c r="D99" s="141"/>
      <c r="E99" s="142"/>
    </row>
    <row r="100" spans="4:5">
      <c r="D100" s="141"/>
      <c r="E100" s="142"/>
    </row>
    <row r="101" spans="4:5">
      <c r="D101" s="141"/>
      <c r="E101" s="142"/>
    </row>
    <row r="102" spans="4:5">
      <c r="D102" s="141"/>
      <c r="E102" s="142"/>
    </row>
    <row r="103" spans="4:5">
      <c r="D103" s="141"/>
      <c r="E103" s="142"/>
    </row>
    <row r="104" spans="4:5">
      <c r="D104" s="141"/>
      <c r="E104" s="142"/>
    </row>
    <row r="105" spans="4:5">
      <c r="D105" s="141"/>
      <c r="E105" s="142"/>
    </row>
    <row r="106" spans="4:5">
      <c r="D106" s="141"/>
      <c r="E106" s="142"/>
    </row>
    <row r="107" spans="4:5">
      <c r="D107" s="141"/>
      <c r="E107" s="142"/>
    </row>
    <row r="108" spans="4:5">
      <c r="D108" s="141"/>
      <c r="E108" s="142"/>
    </row>
    <row r="109" spans="4:5">
      <c r="D109" s="141"/>
      <c r="E109" s="142"/>
    </row>
    <row r="110" spans="4:5">
      <c r="D110" s="141"/>
      <c r="E110" s="142"/>
    </row>
    <row r="111" spans="4:5">
      <c r="D111" s="141"/>
      <c r="E111" s="142"/>
    </row>
    <row r="112" spans="4:5">
      <c r="D112" s="141"/>
      <c r="E112" s="142"/>
    </row>
    <row r="113" spans="2:5" ht="15.75">
      <c r="B113" s="143"/>
      <c r="D113" s="141"/>
      <c r="E113" s="142"/>
    </row>
    <row r="114" spans="2:5">
      <c r="D114" s="141"/>
      <c r="E114" s="142"/>
    </row>
    <row r="115" spans="2:5">
      <c r="D115" s="141"/>
      <c r="E115" s="142"/>
    </row>
    <row r="116" spans="2:5">
      <c r="D116" s="141"/>
      <c r="E116" s="142"/>
    </row>
    <row r="117" spans="2:5">
      <c r="D117" s="141"/>
      <c r="E117" s="142"/>
    </row>
    <row r="118" spans="2:5">
      <c r="D118" s="141"/>
      <c r="E118" s="142"/>
    </row>
    <row r="119" spans="2:5">
      <c r="D119" s="141"/>
      <c r="E119" s="142"/>
    </row>
    <row r="120" spans="2:5">
      <c r="D120" s="141"/>
      <c r="E120" s="142"/>
    </row>
    <row r="121" spans="2:5">
      <c r="D121" s="141"/>
      <c r="E121" s="142"/>
    </row>
    <row r="122" spans="2:5">
      <c r="D122" s="141"/>
      <c r="E122" s="142"/>
    </row>
    <row r="123" spans="2:5">
      <c r="D123" s="141"/>
      <c r="E123" s="142"/>
    </row>
    <row r="124" spans="2:5">
      <c r="D124" s="141"/>
      <c r="E124" s="142"/>
    </row>
    <row r="125" spans="2:5">
      <c r="D125" s="141"/>
      <c r="E125" s="142"/>
    </row>
    <row r="126" spans="2:5">
      <c r="D126" s="141"/>
      <c r="E126" s="142"/>
    </row>
    <row r="127" spans="2:5">
      <c r="D127" s="141"/>
      <c r="E127" s="142"/>
    </row>
    <row r="128" spans="2:5">
      <c r="D128" s="141"/>
      <c r="E128" s="142"/>
    </row>
    <row r="129" spans="4:5">
      <c r="D129" s="141"/>
      <c r="E129" s="142"/>
    </row>
    <row r="130" spans="4:5">
      <c r="D130" s="141"/>
      <c r="E130" s="142"/>
    </row>
    <row r="131" spans="4:5">
      <c r="D131" s="141"/>
      <c r="E131" s="142"/>
    </row>
    <row r="132" spans="4:5">
      <c r="D132" s="141"/>
      <c r="E132" s="142"/>
    </row>
    <row r="133" spans="4:5">
      <c r="D133" s="141"/>
      <c r="E133" s="142"/>
    </row>
    <row r="134" spans="4:5">
      <c r="D134" s="141"/>
      <c r="E134" s="142"/>
    </row>
    <row r="135" spans="4:5">
      <c r="D135" s="141"/>
      <c r="E135" s="142"/>
    </row>
    <row r="136" spans="4:5">
      <c r="D136" s="141"/>
      <c r="E136" s="142"/>
    </row>
    <row r="137" spans="4:5">
      <c r="D137" s="141"/>
      <c r="E137" s="142"/>
    </row>
    <row r="138" spans="4:5">
      <c r="D138" s="141"/>
      <c r="E138" s="142"/>
    </row>
    <row r="139" spans="4:5">
      <c r="D139" s="141"/>
      <c r="E139" s="142"/>
    </row>
    <row r="140" spans="4:5">
      <c r="D140" s="141"/>
      <c r="E140" s="142"/>
    </row>
    <row r="141" spans="4:5">
      <c r="D141" s="141"/>
      <c r="E141" s="142"/>
    </row>
    <row r="142" spans="4:5">
      <c r="D142" s="141"/>
      <c r="E142" s="142"/>
    </row>
    <row r="143" spans="4:5">
      <c r="D143" s="141"/>
      <c r="E143" s="142"/>
    </row>
    <row r="144" spans="4:5">
      <c r="D144" s="141"/>
      <c r="E144" s="142"/>
    </row>
    <row r="145" spans="4:5">
      <c r="D145" s="141"/>
      <c r="E145" s="142"/>
    </row>
    <row r="146" spans="4:5">
      <c r="D146" s="141"/>
      <c r="E146" s="142"/>
    </row>
    <row r="147" spans="4:5">
      <c r="D147" s="141"/>
      <c r="E147" s="142"/>
    </row>
    <row r="148" spans="4:5">
      <c r="D148" s="141"/>
      <c r="E148" s="142"/>
    </row>
    <row r="149" spans="4:5">
      <c r="D149" s="141"/>
      <c r="E149" s="142"/>
    </row>
    <row r="150" spans="4:5">
      <c r="D150" s="141"/>
      <c r="E150" s="142"/>
    </row>
    <row r="151" spans="4:5">
      <c r="D151" s="141"/>
      <c r="E151" s="142"/>
    </row>
    <row r="152" spans="4:5">
      <c r="D152" s="141"/>
      <c r="E152" s="142"/>
    </row>
    <row r="153" spans="4:5">
      <c r="D153" s="141"/>
      <c r="E153" s="142"/>
    </row>
    <row r="154" spans="4:5">
      <c r="D154" s="141"/>
      <c r="E154" s="142"/>
    </row>
    <row r="155" spans="4:5">
      <c r="D155" s="141"/>
      <c r="E155" s="142"/>
    </row>
    <row r="156" spans="4:5">
      <c r="D156" s="141"/>
      <c r="E156" s="142"/>
    </row>
    <row r="157" spans="4:5">
      <c r="D157" s="141"/>
      <c r="E157" s="142"/>
    </row>
    <row r="158" spans="4:5">
      <c r="D158" s="141"/>
      <c r="E158" s="142"/>
    </row>
    <row r="159" spans="4:5">
      <c r="D159" s="141"/>
      <c r="E159" s="142"/>
    </row>
    <row r="160" spans="4:5">
      <c r="D160" s="141"/>
      <c r="E160" s="142"/>
    </row>
    <row r="161" spans="4:5">
      <c r="D161" s="141"/>
      <c r="E161" s="142"/>
    </row>
    <row r="162" spans="4:5">
      <c r="D162" s="141"/>
      <c r="E162" s="142"/>
    </row>
    <row r="163" spans="4:5">
      <c r="D163" s="141"/>
      <c r="E163" s="142"/>
    </row>
    <row r="164" spans="4:5">
      <c r="D164" s="141"/>
      <c r="E164" s="142"/>
    </row>
    <row r="165" spans="4:5">
      <c r="D165" s="141"/>
      <c r="E165" s="142"/>
    </row>
    <row r="166" spans="4:5">
      <c r="D166" s="141"/>
      <c r="E166" s="142"/>
    </row>
    <row r="167" spans="4:5">
      <c r="D167" s="141"/>
      <c r="E167" s="142"/>
    </row>
    <row r="168" spans="4:5">
      <c r="D168" s="141"/>
      <c r="E168" s="142"/>
    </row>
    <row r="169" spans="4:5">
      <c r="D169" s="141"/>
      <c r="E169" s="142"/>
    </row>
    <row r="170" spans="4:5">
      <c r="D170" s="141"/>
      <c r="E170" s="142"/>
    </row>
    <row r="171" spans="4:5">
      <c r="D171" s="141"/>
      <c r="E171" s="142"/>
    </row>
    <row r="172" spans="4:5">
      <c r="D172" s="141"/>
      <c r="E172" s="142"/>
    </row>
    <row r="173" spans="4:5">
      <c r="D173" s="141"/>
      <c r="E173" s="142"/>
    </row>
    <row r="174" spans="4:5">
      <c r="D174" s="141"/>
      <c r="E174" s="142"/>
    </row>
    <row r="175" spans="4:5">
      <c r="D175" s="141"/>
      <c r="E175" s="142"/>
    </row>
    <row r="176" spans="4:5">
      <c r="D176" s="141"/>
      <c r="E176" s="142"/>
    </row>
    <row r="177" spans="4:5">
      <c r="D177" s="141"/>
      <c r="E177" s="142"/>
    </row>
    <row r="178" spans="4:5">
      <c r="D178" s="141"/>
      <c r="E178" s="142"/>
    </row>
    <row r="179" spans="4:5">
      <c r="D179" s="141"/>
      <c r="E179" s="142"/>
    </row>
    <row r="180" spans="4:5">
      <c r="D180" s="141"/>
      <c r="E180" s="142"/>
    </row>
    <row r="181" spans="4:5">
      <c r="D181" s="141"/>
      <c r="E181" s="142"/>
    </row>
    <row r="182" spans="4:5">
      <c r="D182" s="141"/>
      <c r="E182" s="142"/>
    </row>
    <row r="183" spans="4:5">
      <c r="D183" s="141"/>
      <c r="E183" s="142"/>
    </row>
    <row r="184" spans="4:5">
      <c r="D184" s="141"/>
      <c r="E184" s="142"/>
    </row>
    <row r="185" spans="4:5">
      <c r="D185" s="141"/>
      <c r="E185" s="142"/>
    </row>
    <row r="186" spans="4:5">
      <c r="D186" s="141"/>
      <c r="E186" s="142"/>
    </row>
    <row r="187" spans="4:5">
      <c r="D187" s="141"/>
      <c r="E187" s="142"/>
    </row>
    <row r="188" spans="4:5">
      <c r="D188" s="141"/>
      <c r="E188" s="142"/>
    </row>
    <row r="189" spans="4:5">
      <c r="D189" s="141"/>
      <c r="E189" s="142"/>
    </row>
    <row r="190" spans="4:5">
      <c r="D190" s="141"/>
      <c r="E190" s="142"/>
    </row>
    <row r="191" spans="4:5">
      <c r="D191" s="141"/>
      <c r="E191" s="142"/>
    </row>
    <row r="192" spans="4:5">
      <c r="D192" s="141"/>
      <c r="E192" s="142"/>
    </row>
    <row r="193" spans="4:5">
      <c r="D193" s="141"/>
      <c r="E193" s="142"/>
    </row>
    <row r="194" spans="4:5">
      <c r="D194" s="141"/>
      <c r="E194" s="142"/>
    </row>
    <row r="195" spans="4:5">
      <c r="D195" s="141"/>
      <c r="E195" s="142"/>
    </row>
    <row r="196" spans="4:5">
      <c r="D196" s="141"/>
      <c r="E196" s="142"/>
    </row>
    <row r="197" spans="4:5">
      <c r="D197" s="141"/>
      <c r="E197" s="142"/>
    </row>
    <row r="198" spans="4:5">
      <c r="D198" s="141"/>
      <c r="E198" s="142"/>
    </row>
    <row r="199" spans="4:5">
      <c r="D199" s="141"/>
      <c r="E199" s="142"/>
    </row>
    <row r="200" spans="4:5">
      <c r="D200" s="141"/>
      <c r="E200" s="142"/>
    </row>
    <row r="201" spans="4:5">
      <c r="D201" s="141"/>
      <c r="E201" s="142"/>
    </row>
    <row r="202" spans="4:5">
      <c r="D202" s="141"/>
      <c r="E202" s="142"/>
    </row>
    <row r="203" spans="4:5">
      <c r="D203" s="141"/>
      <c r="E203" s="142"/>
    </row>
    <row r="204" spans="4:5">
      <c r="D204" s="141"/>
      <c r="E204" s="142"/>
    </row>
    <row r="205" spans="4:5">
      <c r="D205" s="141"/>
      <c r="E205" s="142"/>
    </row>
    <row r="206" spans="4:5">
      <c r="D206" s="141"/>
      <c r="E206" s="142"/>
    </row>
    <row r="207" spans="4:5">
      <c r="D207" s="141"/>
      <c r="E207" s="14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22</vt:i4>
      </vt:variant>
    </vt:vector>
  </HeadingPairs>
  <TitlesOfParts>
    <vt:vector size="22" baseType="lpstr">
      <vt:lpstr>Index</vt:lpstr>
      <vt:lpstr>1.Key Assumptions</vt:lpstr>
      <vt:lpstr>2. 5-Yr Profit &amp; Loss</vt:lpstr>
      <vt:lpstr>3. Balance sheets</vt:lpstr>
      <vt:lpstr>5. 5-Yr Cashflow</vt:lpstr>
      <vt:lpstr>4. Initial Inv't Size</vt:lpstr>
      <vt:lpstr>App 1_5Yr Revenue</vt:lpstr>
      <vt:lpstr>App 2_12M Revenue</vt:lpstr>
      <vt:lpstr>App 3_Service Fee Ref.</vt:lpstr>
      <vt:lpstr>App 4_Yr1 Cashflow</vt:lpstr>
      <vt:lpstr>App 5_5-Yr Capex</vt:lpstr>
      <vt:lpstr>App 6_Yr 1 Capex</vt:lpstr>
      <vt:lpstr>App 7_Pre-operational Costs</vt:lpstr>
      <vt:lpstr>List of equipment</vt:lpstr>
      <vt:lpstr>Medic Equipment</vt:lpstr>
      <vt:lpstr>App 8_5Yr Headcount</vt:lpstr>
      <vt:lpstr>App 9_Yr1 Headcount</vt:lpstr>
      <vt:lpstr>App 10_5Yr Op Exp</vt:lpstr>
      <vt:lpstr>App 11_Yr1 Op Exp</vt:lpstr>
      <vt:lpstr>COGS</vt:lpstr>
      <vt:lpstr>Medic Data</vt:lpstr>
      <vt:lpstr>Payroll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Thuan Nguyen</dc:creator>
  <cp:lastModifiedBy>Thuan Nguyen</cp:lastModifiedBy>
  <cp:lastPrinted>2012-08-17T07:44:05Z</cp:lastPrinted>
  <dcterms:created xsi:type="dcterms:W3CDTF">2012-08-16T04:03:21Z</dcterms:created>
  <dcterms:modified xsi:type="dcterms:W3CDTF">2012-12-13T01:52:07Z</dcterms:modified>
</cp:coreProperties>
</file>